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05" windowWidth="15120" windowHeight="7935" activeTab="4"/>
  </bookViews>
  <sheets>
    <sheet name="Sheet1" sheetId="1" r:id="rId1"/>
    <sheet name="Methanol KOH" sheetId="2" r:id="rId2"/>
    <sheet name="Equip" sheetId="3" r:id="rId3"/>
    <sheet name="Fuel Treatment" sheetId="4" r:id="rId4"/>
    <sheet name="Total Cost" sheetId="5" r:id="rId5"/>
  </sheets>
  <calcPr calcId="145621" concurrentCalc="0"/>
</workbook>
</file>

<file path=xl/calcChain.xml><?xml version="1.0" encoding="utf-8"?>
<calcChain xmlns="http://schemas.openxmlformats.org/spreadsheetml/2006/main">
  <c r="F6" i="5" l="1"/>
  <c r="F26" i="1"/>
  <c r="F23" i="1"/>
  <c r="D23" i="1"/>
  <c r="B6" i="5"/>
  <c r="F18" i="5"/>
  <c r="F10" i="5"/>
  <c r="F9" i="5"/>
  <c r="J6" i="5"/>
  <c r="D3" i="4"/>
  <c r="D6" i="5"/>
  <c r="G5" i="3"/>
  <c r="G6" i="3"/>
  <c r="G4" i="3"/>
  <c r="F13" i="5"/>
  <c r="H15" i="5"/>
  <c r="F15" i="5"/>
  <c r="D15" i="5"/>
  <c r="F14" i="5"/>
  <c r="D14" i="5"/>
  <c r="J13" i="5"/>
  <c r="H13" i="5"/>
  <c r="F24" i="5"/>
  <c r="B13" i="5"/>
  <c r="G8" i="3"/>
  <c r="D13" i="5"/>
  <c r="G9" i="2"/>
  <c r="J9" i="2"/>
  <c r="G8" i="2"/>
  <c r="J8" i="2"/>
  <c r="G5" i="2"/>
  <c r="J5" i="2"/>
  <c r="G4" i="2"/>
  <c r="J4" i="2"/>
  <c r="D18" i="5"/>
  <c r="H18" i="5"/>
  <c r="J18" i="5"/>
  <c r="H10" i="5"/>
  <c r="J10" i="5"/>
  <c r="D9" i="5"/>
  <c r="J9" i="5"/>
  <c r="H9" i="5"/>
  <c r="B18" i="5"/>
  <c r="D10" i="5"/>
  <c r="B10" i="5"/>
  <c r="B14" i="5"/>
  <c r="B15" i="5"/>
  <c r="B9" i="5"/>
  <c r="F24" i="1"/>
  <c r="D24" i="1"/>
  <c r="F42" i="1"/>
  <c r="F16" i="1"/>
  <c r="D16" i="1"/>
  <c r="F14" i="1"/>
  <c r="D14" i="1"/>
  <c r="D42" i="1"/>
  <c r="H24" i="5"/>
  <c r="J24" i="5"/>
  <c r="B24" i="5"/>
  <c r="D24" i="5"/>
  <c r="F17" i="1"/>
  <c r="F19" i="1"/>
  <c r="D17" i="1"/>
  <c r="D19" i="1"/>
  <c r="F29" i="1"/>
  <c r="D26" i="1"/>
  <c r="D29" i="1"/>
  <c r="D32" i="1"/>
  <c r="D44" i="1"/>
  <c r="F32" i="1"/>
  <c r="F44" i="1"/>
</calcChain>
</file>

<file path=xl/sharedStrings.xml><?xml version="1.0" encoding="utf-8"?>
<sst xmlns="http://schemas.openxmlformats.org/spreadsheetml/2006/main" count="156" uniqueCount="111">
  <si>
    <t>Biodiesel Economics</t>
  </si>
  <si>
    <t>Michigan State University Extension</t>
  </si>
  <si>
    <t>January 2012</t>
  </si>
  <si>
    <t>Expenses</t>
  </si>
  <si>
    <t>Feedstocks</t>
  </si>
  <si>
    <t xml:space="preserve">Canola </t>
  </si>
  <si>
    <t>Soybeans</t>
  </si>
  <si>
    <t>Waste vegetable oil</t>
  </si>
  <si>
    <t>Soybean oil</t>
  </si>
  <si>
    <t>per bu</t>
  </si>
  <si>
    <t>per gal</t>
  </si>
  <si>
    <t>Oilseed Crush</t>
  </si>
  <si>
    <t>per lb</t>
  </si>
  <si>
    <t xml:space="preserve">Oil Filtering </t>
  </si>
  <si>
    <t>Catalyst (Potassium Hydroxide)</t>
  </si>
  <si>
    <t>Methanol</t>
  </si>
  <si>
    <t>Equipment</t>
  </si>
  <si>
    <t>On-site 80 gal/batch system</t>
  </si>
  <si>
    <t>Revenue</t>
  </si>
  <si>
    <t>Meal</t>
  </si>
  <si>
    <t>oil yield</t>
  </si>
  <si>
    <t>lb</t>
  </si>
  <si>
    <t>Total</t>
  </si>
  <si>
    <t>feedstock processing</t>
  </si>
  <si>
    <t xml:space="preserve">Canola Meal </t>
  </si>
  <si>
    <t xml:space="preserve"> / ton discounted by $50/ton due to variable quality and low volume</t>
  </si>
  <si>
    <t>Soybean Meal</t>
  </si>
  <si>
    <t>/ ton discounted by $50/ton due to variable quality and low volume</t>
  </si>
  <si>
    <t>yield</t>
  </si>
  <si>
    <t>lb/bu</t>
  </si>
  <si>
    <t>lb per bu</t>
  </si>
  <si>
    <t>(per bu of feedstock)</t>
  </si>
  <si>
    <t>Total meal value</t>
  </si>
  <si>
    <t>(per bushel of feedstock)</t>
  </si>
  <si>
    <t>vegetable oil</t>
  </si>
  <si>
    <t>lbs/ gallon</t>
  </si>
  <si>
    <t>Total cost of feedstock plus</t>
  </si>
  <si>
    <t>crush and filter</t>
  </si>
  <si>
    <t>Net cost of feedstock</t>
  </si>
  <si>
    <t>(feedstock - meal value)</t>
  </si>
  <si>
    <t>Expenses (per gal of biodiesel)</t>
  </si>
  <si>
    <t>On-site biodiesel processor $</t>
  </si>
  <si>
    <t>Unit will last for ten years</t>
  </si>
  <si>
    <t>3 (80 gallon)batches/week x 50 weeks/year x 10 years /$12,000 = $0.10</t>
  </si>
  <si>
    <t>cost of raw oil</t>
  </si>
  <si>
    <t xml:space="preserve">Total biodiesel processing </t>
  </si>
  <si>
    <t>Total cost of biodiesel</t>
  </si>
  <si>
    <t>Cost</t>
  </si>
  <si>
    <t>g</t>
  </si>
  <si>
    <t>Batch Amt</t>
  </si>
  <si>
    <t>KOH</t>
  </si>
  <si>
    <t>gms</t>
  </si>
  <si>
    <t>Amount</t>
  </si>
  <si>
    <t>Gal biodiesel per batch</t>
  </si>
  <si>
    <t>Cost per gal biodiesel</t>
  </si>
  <si>
    <t>Cost per batch</t>
  </si>
  <si>
    <t>Run #1</t>
  </si>
  <si>
    <t>Run #2</t>
  </si>
  <si>
    <t>Gal glycerin per batch</t>
  </si>
  <si>
    <t>Useful life</t>
  </si>
  <si>
    <t>Gallons processed per year</t>
  </si>
  <si>
    <t>Cost per gallon</t>
  </si>
  <si>
    <t>Product</t>
  </si>
  <si>
    <t>80 g Genesee Processor</t>
  </si>
  <si>
    <t>biodiesel</t>
  </si>
  <si>
    <t>KK40 oil press</t>
  </si>
  <si>
    <t>Centrifuge, 6000 rpm</t>
  </si>
  <si>
    <t>oil</t>
  </si>
  <si>
    <t>Total*</t>
  </si>
  <si>
    <t xml:space="preserve">* assumes 1:1 ratio of oil to biodiesel.  Currently the ratio is less than 1:1.  Clean </t>
  </si>
  <si>
    <t>canola oil going into the processor will improve biodiesel yield.</t>
  </si>
  <si>
    <t>Biodiesel Fuel Conditioner</t>
  </si>
  <si>
    <t>Gals treated</t>
  </si>
  <si>
    <t>Cost per gal</t>
  </si>
  <si>
    <t>Chemicals</t>
  </si>
  <si>
    <t>Other</t>
  </si>
  <si>
    <t>Feedstock</t>
  </si>
  <si>
    <t>Labor</t>
  </si>
  <si>
    <t>Acknowledgement: “This material is based upon work supported by the Department of Energy under Award Number(s) DE-EE0000753.”</t>
  </si>
  <si>
    <r>
      <t>Disclaimer: “This report was prepared as an account of work sponsored by an agency of the United States Government. Neither the United States Government nor any agency thereof, nor any of their employees, make any warranty, express or implied, or assumes any legal liability or responsibility for the accuracy, completeness, or usefulness of any information, apparatus, product, or process disclosed, or represents that its use would not infringe privately owned rights. Reference herein to any specific commercial product, process, or service by trade name, trademark, manufacturer, or otherwise does not necessarily constitute or imply its endorsement, recommendation, or favoring by the United States Government or any agency thereof. The views and opinions of authors expressed herein do not necessarily state or reflect those of the United States Government or any agency thereof.”</t>
    </r>
    <r>
      <rPr>
        <sz val="8"/>
        <color theme="1"/>
        <rFont val="Calibri"/>
        <family val="2"/>
        <scheme val="minor"/>
      </rPr>
      <t> </t>
    </r>
  </si>
  <si>
    <t>$0.198/ lb of oil x 7.5 lb oil/gal = $1.485/gallon</t>
  </si>
  <si>
    <t>Market price of meal:</t>
  </si>
  <si>
    <r>
      <t xml:space="preserve">Repairs/Maint </t>
    </r>
    <r>
      <rPr>
        <vertAlign val="superscript"/>
        <sz val="11"/>
        <color theme="1"/>
        <rFont val="Calibri"/>
        <family val="2"/>
        <scheme val="minor"/>
      </rPr>
      <t>5</t>
    </r>
  </si>
  <si>
    <r>
      <t xml:space="preserve">Electricity </t>
    </r>
    <r>
      <rPr>
        <vertAlign val="superscript"/>
        <sz val="11"/>
        <color theme="1"/>
        <rFont val="Calibri"/>
        <family val="2"/>
        <scheme val="minor"/>
      </rPr>
      <t>4</t>
    </r>
  </si>
  <si>
    <r>
      <t>Cost of Production</t>
    </r>
    <r>
      <rPr>
        <b/>
        <vertAlign val="superscript"/>
        <sz val="11"/>
        <color theme="1"/>
        <rFont val="Calibri"/>
        <family val="2"/>
        <scheme val="minor"/>
      </rPr>
      <t>1</t>
    </r>
  </si>
  <si>
    <r>
      <t>Market Value</t>
    </r>
    <r>
      <rPr>
        <b/>
        <vertAlign val="superscript"/>
        <sz val="11"/>
        <color theme="1"/>
        <rFont val="Calibri"/>
        <family val="2"/>
        <scheme val="minor"/>
      </rPr>
      <t>2</t>
    </r>
  </si>
  <si>
    <t>Salvage Value</t>
  </si>
  <si>
    <r>
      <rPr>
        <vertAlign val="superscript"/>
        <sz val="11"/>
        <color theme="1"/>
        <rFont val="Calibri"/>
        <family val="2"/>
        <scheme val="minor"/>
      </rPr>
      <t>3</t>
    </r>
    <r>
      <rPr>
        <sz val="11"/>
        <color theme="1"/>
        <rFont val="Calibri"/>
        <family val="2"/>
        <scheme val="minor"/>
      </rPr>
      <t xml:space="preserve"> From final report Table 17, $75 rent, 40 bu canola yield:</t>
    </r>
  </si>
  <si>
    <r>
      <rPr>
        <vertAlign val="superscript"/>
        <sz val="11"/>
        <color theme="1"/>
        <rFont val="Calibri"/>
        <family val="2"/>
        <scheme val="minor"/>
      </rPr>
      <t>4</t>
    </r>
    <r>
      <rPr>
        <sz val="11"/>
        <color theme="1"/>
        <rFont val="Calibri"/>
        <family val="2"/>
        <scheme val="minor"/>
      </rPr>
      <t xml:space="preserve"> From final report Table 18, electricity</t>
    </r>
  </si>
  <si>
    <r>
      <rPr>
        <vertAlign val="superscript"/>
        <sz val="11"/>
        <color theme="1"/>
        <rFont val="Calibri"/>
        <family val="2"/>
        <scheme val="minor"/>
      </rPr>
      <t>5</t>
    </r>
    <r>
      <rPr>
        <sz val="11"/>
        <color theme="1"/>
        <rFont val="Calibri"/>
        <family val="2"/>
        <scheme val="minor"/>
      </rPr>
      <t xml:space="preserve"> From final report Table 18, maintainance</t>
    </r>
  </si>
  <si>
    <r>
      <t>per</t>
    </r>
    <r>
      <rPr>
        <b/>
        <sz val="11"/>
        <color theme="1"/>
        <rFont val="Calibri"/>
        <family val="2"/>
        <scheme val="minor"/>
      </rPr>
      <t xml:space="preserve"> gal</t>
    </r>
    <r>
      <rPr>
        <sz val="11"/>
        <color theme="1"/>
        <rFont val="Calibri"/>
        <family val="2"/>
        <scheme val="minor"/>
      </rPr>
      <t xml:space="preserve"> ($0.557/lb of oil x 7.5 oil/gal)</t>
    </r>
  </si>
  <si>
    <t># qts</t>
  </si>
  <si>
    <t>Fuel Treatment (winter)</t>
  </si>
  <si>
    <t>Small Scale: Cost of Producing Biodiesel ($/gal biodiesel)</t>
  </si>
  <si>
    <t>from used vegetable oil</t>
  </si>
  <si>
    <t>Cost of collection</t>
  </si>
  <si>
    <t>Market price - canola oil:</t>
  </si>
  <si>
    <t>Market Value</t>
  </si>
  <si>
    <t>Market price - used vegetable oil $0.35/lb from www.ams.usdaq.gov/mnreports/lwsagenergy</t>
  </si>
  <si>
    <t>from canola feedstock</t>
  </si>
  <si>
    <t>cost of production</t>
  </si>
  <si>
    <r>
      <rPr>
        <vertAlign val="superscript"/>
        <sz val="11"/>
        <color theme="1"/>
        <rFont val="Calibri"/>
        <family val="2"/>
        <scheme val="minor"/>
      </rPr>
      <t>1</t>
    </r>
    <r>
      <rPr>
        <sz val="11"/>
        <color theme="1"/>
        <rFont val="Calibri"/>
        <family val="2"/>
        <scheme val="minor"/>
      </rPr>
      <t xml:space="preserve"> Canola cost of production: $6.74 per bushel</t>
    </r>
  </si>
  <si>
    <t>Soybean cost of production $10.50/bu</t>
  </si>
  <si>
    <r>
      <rPr>
        <vertAlign val="superscript"/>
        <sz val="11"/>
        <color theme="1"/>
        <rFont val="Calibri"/>
        <family val="2"/>
        <scheme val="minor"/>
      </rPr>
      <t>2</t>
    </r>
    <r>
      <rPr>
        <sz val="11"/>
        <color theme="1"/>
        <rFont val="Calibri"/>
        <family val="2"/>
        <scheme val="minor"/>
      </rPr>
      <t xml:space="preserve"> Canola market value: $12.21 per bushel from: http://www.northerncanola.com/</t>
    </r>
  </si>
  <si>
    <r>
      <t>per</t>
    </r>
    <r>
      <rPr>
        <b/>
        <sz val="11"/>
        <color theme="1"/>
        <rFont val="Calibri"/>
        <family val="2"/>
        <scheme val="minor"/>
      </rPr>
      <t xml:space="preserve"> bu</t>
    </r>
    <r>
      <rPr>
        <sz val="11"/>
        <color theme="1"/>
        <rFont val="Calibri"/>
        <family val="2"/>
        <scheme val="minor"/>
      </rPr>
      <t xml:space="preserve"> canola ($0.0875 per lb x 35 lb)</t>
    </r>
  </si>
  <si>
    <t>per bu soybean ($0.1375 per lb x 51.5 lb)</t>
  </si>
  <si>
    <r>
      <t xml:space="preserve">Unrefined oil </t>
    </r>
    <r>
      <rPr>
        <vertAlign val="superscript"/>
        <sz val="11"/>
        <color theme="1"/>
        <rFont val="Calibri"/>
        <family val="2"/>
        <scheme val="minor"/>
      </rPr>
      <t>3</t>
    </r>
  </si>
  <si>
    <t>$175/ton</t>
  </si>
  <si>
    <t>$275/ton</t>
  </si>
  <si>
    <t>soybeans</t>
  </si>
  <si>
    <t>Summer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</si>
</sst>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quot;$&quot;* #,##0_);_(&quot;$&quot;* \(#,##0\);_(&quot;$&quot;* &quot;-&quot;??_);_(@_)"/>
    <numFmt numFmtId="165" formatCode="_(&quot;$&quot;* #,##0.000_);_(&quot;$&quot;* \(#,##0.000\);_(&quot;$&quot;* &quot;-&quot;??_);_(@_)"/>
  </numFmts>
  <fonts count="8" x14ac:knownFonts="1">
    <font>
      <sz val="11"/>
      <color theme="1"/>
      <name val="Calibri"/>
      <family val="2"/>
      <scheme val="minor"/>
    </font>
    <font>
      <b/>
      <sz val="11"/>
      <color theme="1"/>
      <name val="Calibri"/>
      <family val="2"/>
      <scheme val="minor"/>
    </font>
    <font>
      <sz val="11"/>
      <color theme="1"/>
      <name val="Calibri"/>
      <family val="2"/>
      <scheme val="minor"/>
    </font>
    <font>
      <vertAlign val="superscript"/>
      <sz val="11"/>
      <color theme="1"/>
      <name val="Calibri"/>
      <family val="2"/>
      <scheme val="minor"/>
    </font>
    <font>
      <sz val="8"/>
      <color theme="1"/>
      <name val="Calibri"/>
      <family val="2"/>
      <scheme val="minor"/>
    </font>
    <font>
      <b/>
      <sz val="14"/>
      <color theme="1"/>
      <name val="Calibri"/>
      <family val="2"/>
      <scheme val="minor"/>
    </font>
    <font>
      <b/>
      <vertAlign val="superscript"/>
      <sz val="11"/>
      <color theme="1"/>
      <name val="Calibri"/>
      <family val="2"/>
      <scheme val="minor"/>
    </font>
    <font>
      <b/>
      <sz val="18"/>
      <color theme="1"/>
      <name val="Calibri"/>
      <family val="2"/>
      <scheme val="minor"/>
    </font>
  </fonts>
  <fills count="8">
    <fill>
      <patternFill patternType="none"/>
    </fill>
    <fill>
      <patternFill patternType="gray125"/>
    </fill>
    <fill>
      <patternFill patternType="solid">
        <fgColor theme="8" tint="0.79998168889431442"/>
        <bgColor indexed="64"/>
      </patternFill>
    </fill>
    <fill>
      <patternFill patternType="solid">
        <fgColor theme="5" tint="0.59996337778862885"/>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0" tint="-0.14996795556505021"/>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diagonal/>
    </border>
  </borders>
  <cellStyleXfs count="2">
    <xf numFmtId="0" fontId="0" fillId="0" borderId="0"/>
    <xf numFmtId="44" fontId="2" fillId="0" borderId="0" applyFont="0" applyFill="0" applyBorder="0" applyAlignment="0" applyProtection="0"/>
  </cellStyleXfs>
  <cellXfs count="108">
    <xf numFmtId="0" fontId="0" fillId="0" borderId="0" xfId="0"/>
    <xf numFmtId="17" fontId="0" fillId="0" borderId="0" xfId="0" quotePrefix="1" applyNumberFormat="1"/>
    <xf numFmtId="0" fontId="1" fillId="0" borderId="0" xfId="0" applyFont="1"/>
    <xf numFmtId="0" fontId="0" fillId="0" borderId="1" xfId="0" applyBorder="1"/>
    <xf numFmtId="0" fontId="0" fillId="0" borderId="2" xfId="0" applyBorder="1"/>
    <xf numFmtId="0" fontId="0" fillId="0" borderId="3" xfId="0" applyBorder="1"/>
    <xf numFmtId="2" fontId="0" fillId="0" borderId="1" xfId="0" applyNumberFormat="1" applyBorder="1"/>
    <xf numFmtId="3" fontId="0" fillId="0" borderId="0" xfId="0" applyNumberFormat="1"/>
    <xf numFmtId="2" fontId="0" fillId="0" borderId="2" xfId="0" applyNumberFormat="1" applyBorder="1"/>
    <xf numFmtId="44" fontId="0" fillId="0" borderId="0" xfId="1" applyFont="1"/>
    <xf numFmtId="0" fontId="0" fillId="0" borderId="0" xfId="0" applyAlignment="1">
      <alignment horizontal="center" wrapText="1"/>
    </xf>
    <xf numFmtId="44" fontId="0" fillId="0" borderId="0" xfId="1" applyFont="1" applyAlignment="1">
      <alignment horizontal="center"/>
    </xf>
    <xf numFmtId="0" fontId="0" fillId="0" borderId="0" xfId="0" applyAlignment="1">
      <alignment horizontal="center"/>
    </xf>
    <xf numFmtId="164" fontId="0" fillId="0" borderId="0" xfId="1" applyNumberFormat="1" applyFont="1"/>
    <xf numFmtId="0" fontId="0" fillId="0" borderId="4" xfId="0" applyBorder="1" applyAlignment="1">
      <alignment wrapText="1"/>
    </xf>
    <xf numFmtId="0" fontId="0" fillId="0" borderId="4" xfId="0" applyBorder="1" applyAlignment="1">
      <alignment horizontal="center" wrapText="1"/>
    </xf>
    <xf numFmtId="0" fontId="0" fillId="0" borderId="4" xfId="0" applyBorder="1"/>
    <xf numFmtId="44" fontId="0" fillId="0" borderId="4" xfId="1" applyFont="1" applyBorder="1"/>
    <xf numFmtId="0" fontId="0" fillId="0" borderId="0" xfId="0" applyAlignment="1"/>
    <xf numFmtId="0" fontId="0" fillId="0" borderId="0" xfId="0"/>
    <xf numFmtId="44" fontId="0" fillId="2" borderId="0" xfId="1" applyFont="1" applyFill="1" applyBorder="1"/>
    <xf numFmtId="44" fontId="0" fillId="0" borderId="0" xfId="1" applyFont="1" applyFill="1" applyBorder="1"/>
    <xf numFmtId="0" fontId="0" fillId="0" borderId="0" xfId="0" applyFill="1"/>
    <xf numFmtId="0" fontId="5" fillId="0" borderId="0" xfId="0" applyFont="1" applyAlignment="1">
      <alignment horizontal="center" vertical="center"/>
    </xf>
    <xf numFmtId="0" fontId="0" fillId="0" borderId="0" xfId="0" applyFont="1"/>
    <xf numFmtId="0" fontId="0" fillId="0" borderId="0" xfId="0" applyAlignment="1">
      <alignment horizontal="left" indent="7"/>
    </xf>
    <xf numFmtId="0" fontId="0" fillId="0" borderId="0" xfId="0" applyBorder="1"/>
    <xf numFmtId="165" fontId="0" fillId="2" borderId="0" xfId="1" applyNumberFormat="1" applyFont="1" applyFill="1" applyBorder="1"/>
    <xf numFmtId="0" fontId="0" fillId="2" borderId="0" xfId="0" applyFill="1" applyBorder="1"/>
    <xf numFmtId="44" fontId="0" fillId="2" borderId="0" xfId="0" applyNumberFormat="1" applyFill="1" applyBorder="1"/>
    <xf numFmtId="0" fontId="0" fillId="0" borderId="5" xfId="0" applyBorder="1"/>
    <xf numFmtId="0" fontId="1" fillId="2" borderId="6" xfId="0" applyFont="1" applyFill="1" applyBorder="1" applyAlignment="1">
      <alignment horizontal="center" wrapText="1"/>
    </xf>
    <xf numFmtId="0" fontId="1" fillId="0" borderId="6" xfId="0" applyFont="1" applyBorder="1" applyAlignment="1">
      <alignment horizontal="center"/>
    </xf>
    <xf numFmtId="0" fontId="0" fillId="0" borderId="8" xfId="0" applyBorder="1"/>
    <xf numFmtId="0" fontId="1" fillId="0" borderId="10" xfId="0" applyFont="1" applyBorder="1"/>
    <xf numFmtId="0" fontId="0" fillId="2" borderId="11" xfId="0" applyFill="1" applyBorder="1" applyAlignment="1">
      <alignment wrapText="1"/>
    </xf>
    <xf numFmtId="0" fontId="0" fillId="0" borderId="11" xfId="0" applyBorder="1"/>
    <xf numFmtId="0" fontId="1" fillId="0" borderId="13" xfId="0" applyFont="1" applyBorder="1"/>
    <xf numFmtId="0" fontId="0" fillId="2" borderId="4" xfId="0" applyFill="1" applyBorder="1"/>
    <xf numFmtId="44" fontId="0" fillId="2" borderId="4" xfId="0" applyNumberFormat="1" applyFill="1" applyBorder="1"/>
    <xf numFmtId="0" fontId="1" fillId="0" borderId="5" xfId="0" applyFont="1" applyBorder="1"/>
    <xf numFmtId="44" fontId="0" fillId="2" borderId="6" xfId="1" applyFont="1" applyFill="1" applyBorder="1"/>
    <xf numFmtId="0" fontId="0" fillId="0" borderId="6" xfId="0" applyBorder="1"/>
    <xf numFmtId="164" fontId="0" fillId="0" borderId="0" xfId="1" applyNumberFormat="1" applyFont="1" applyAlignment="1">
      <alignment horizontal="center"/>
    </xf>
    <xf numFmtId="0" fontId="0" fillId="0" borderId="0" xfId="1" applyNumberFormat="1" applyFont="1"/>
    <xf numFmtId="1" fontId="0" fillId="0" borderId="0" xfId="1" applyNumberFormat="1" applyFont="1"/>
    <xf numFmtId="0" fontId="0" fillId="0" borderId="0" xfId="0" applyAlignment="1">
      <alignment horizontal="left" wrapText="1"/>
    </xf>
    <xf numFmtId="0" fontId="0" fillId="4" borderId="0" xfId="0" applyFill="1"/>
    <xf numFmtId="0" fontId="0" fillId="4" borderId="16" xfId="0" applyFill="1" applyBorder="1"/>
    <xf numFmtId="0" fontId="0" fillId="4" borderId="0" xfId="0" applyFill="1" applyBorder="1"/>
    <xf numFmtId="0" fontId="0" fillId="4" borderId="4" xfId="0" applyFill="1" applyBorder="1"/>
    <xf numFmtId="44" fontId="0" fillId="4" borderId="16" xfId="0" applyNumberFormat="1" applyFill="1" applyBorder="1"/>
    <xf numFmtId="44" fontId="0" fillId="4" borderId="0" xfId="0" applyNumberFormat="1" applyFill="1" applyBorder="1"/>
    <xf numFmtId="44" fontId="0" fillId="4" borderId="4" xfId="0" applyNumberFormat="1" applyFill="1" applyBorder="1"/>
    <xf numFmtId="44" fontId="0" fillId="4" borderId="0" xfId="1" applyFont="1" applyFill="1" applyBorder="1"/>
    <xf numFmtId="0" fontId="1" fillId="4" borderId="6" xfId="0" applyFont="1" applyFill="1" applyBorder="1" applyAlignment="1">
      <alignment horizontal="center" wrapText="1"/>
    </xf>
    <xf numFmtId="44" fontId="0" fillId="4" borderId="6" xfId="1" applyFont="1" applyFill="1" applyBorder="1"/>
    <xf numFmtId="44" fontId="0" fillId="5" borderId="9" xfId="1" applyFont="1" applyFill="1" applyBorder="1"/>
    <xf numFmtId="0" fontId="0" fillId="0" borderId="19" xfId="0" applyBorder="1"/>
    <xf numFmtId="0" fontId="0" fillId="5" borderId="12" xfId="0" applyFill="1" applyBorder="1"/>
    <xf numFmtId="0" fontId="0" fillId="0" borderId="16" xfId="0" applyBorder="1"/>
    <xf numFmtId="44" fontId="0" fillId="5" borderId="17" xfId="1" applyFont="1" applyFill="1" applyBorder="1"/>
    <xf numFmtId="0" fontId="0" fillId="0" borderId="0" xfId="0" applyBorder="1" applyAlignment="1"/>
    <xf numFmtId="0" fontId="0" fillId="0" borderId="4" xfId="0" applyBorder="1" applyAlignment="1"/>
    <xf numFmtId="0" fontId="0" fillId="5" borderId="9" xfId="0" applyFill="1" applyBorder="1" applyAlignment="1"/>
    <xf numFmtId="0" fontId="0" fillId="5" borderId="14" xfId="0" applyFill="1" applyBorder="1" applyAlignment="1"/>
    <xf numFmtId="44" fontId="0" fillId="5" borderId="17" xfId="0" applyNumberFormat="1" applyFill="1" applyBorder="1"/>
    <xf numFmtId="44" fontId="0" fillId="5" borderId="9" xfId="0" applyNumberFormat="1" applyFill="1" applyBorder="1"/>
    <xf numFmtId="0" fontId="0" fillId="5" borderId="14" xfId="0" applyFill="1" applyBorder="1"/>
    <xf numFmtId="44" fontId="0" fillId="5" borderId="14" xfId="0" applyNumberFormat="1" applyFill="1" applyBorder="1"/>
    <xf numFmtId="0" fontId="0" fillId="0" borderId="15" xfId="0" applyBorder="1"/>
    <xf numFmtId="0" fontId="0" fillId="5" borderId="9" xfId="0" applyFill="1" applyBorder="1"/>
    <xf numFmtId="0" fontId="0" fillId="5" borderId="18" xfId="0" applyFill="1" applyBorder="1"/>
    <xf numFmtId="44" fontId="0" fillId="5" borderId="7" xfId="1" applyFont="1" applyFill="1" applyBorder="1"/>
    <xf numFmtId="0" fontId="1" fillId="5" borderId="7" xfId="0" applyFont="1" applyFill="1" applyBorder="1" applyAlignment="1">
      <alignment horizontal="center" vertical="center" wrapText="1"/>
    </xf>
    <xf numFmtId="0" fontId="0" fillId="0" borderId="0" xfId="0" applyAlignment="1">
      <alignment horizontal="left" wrapText="1"/>
    </xf>
    <xf numFmtId="0" fontId="5" fillId="0" borderId="15" xfId="0" applyFont="1" applyBorder="1" applyAlignment="1">
      <alignment horizontal="center" vertical="center"/>
    </xf>
    <xf numFmtId="0" fontId="1" fillId="6" borderId="6" xfId="0" applyFont="1" applyFill="1" applyBorder="1" applyAlignment="1">
      <alignment horizontal="center" wrapText="1"/>
    </xf>
    <xf numFmtId="0" fontId="0" fillId="6" borderId="0" xfId="0" applyFill="1" applyBorder="1"/>
    <xf numFmtId="44" fontId="0" fillId="6" borderId="0" xfId="1" applyFont="1" applyFill="1" applyBorder="1"/>
    <xf numFmtId="0" fontId="0" fillId="6" borderId="4" xfId="0" applyFill="1" applyBorder="1"/>
    <xf numFmtId="44" fontId="0" fillId="6" borderId="0" xfId="0" applyNumberFormat="1" applyFill="1" applyBorder="1"/>
    <xf numFmtId="44" fontId="0" fillId="6" borderId="4" xfId="0" applyNumberFormat="1" applyFill="1" applyBorder="1"/>
    <xf numFmtId="44" fontId="0" fillId="6" borderId="6" xfId="1" applyFont="1" applyFill="1" applyBorder="1"/>
    <xf numFmtId="0" fontId="0" fillId="3" borderId="11" xfId="0" applyFill="1" applyBorder="1"/>
    <xf numFmtId="44" fontId="0" fillId="3" borderId="0" xfId="1" applyFont="1" applyFill="1" applyBorder="1"/>
    <xf numFmtId="0" fontId="0" fillId="3" borderId="0" xfId="0" applyFill="1" applyBorder="1"/>
    <xf numFmtId="0" fontId="0" fillId="3" borderId="4" xfId="0" applyFill="1" applyBorder="1"/>
    <xf numFmtId="44" fontId="0" fillId="3" borderId="0" xfId="0" applyNumberFormat="1" applyFill="1" applyBorder="1"/>
    <xf numFmtId="44" fontId="0" fillId="3" borderId="4" xfId="0" applyNumberFormat="1" applyFill="1" applyBorder="1"/>
    <xf numFmtId="44" fontId="0" fillId="3" borderId="6" xfId="1" applyFont="1" applyFill="1" applyBorder="1"/>
    <xf numFmtId="0" fontId="0" fillId="6" borderId="19" xfId="0" applyFill="1" applyBorder="1"/>
    <xf numFmtId="44" fontId="0" fillId="6" borderId="16" xfId="1" applyFont="1" applyFill="1" applyBorder="1"/>
    <xf numFmtId="44" fontId="0" fillId="6" borderId="16" xfId="0" applyNumberFormat="1" applyFill="1" applyBorder="1"/>
    <xf numFmtId="0" fontId="1" fillId="3" borderId="6" xfId="0" applyFont="1" applyFill="1" applyBorder="1" applyAlignment="1">
      <alignment horizontal="center" wrapText="1"/>
    </xf>
    <xf numFmtId="0" fontId="1" fillId="7" borderId="6" xfId="0" applyFont="1" applyFill="1" applyBorder="1" applyAlignment="1">
      <alignment horizontal="center" wrapText="1"/>
    </xf>
    <xf numFmtId="0" fontId="0" fillId="7" borderId="0" xfId="0" applyFill="1" applyBorder="1"/>
    <xf numFmtId="44" fontId="0" fillId="7" borderId="16" xfId="1" applyFont="1" applyFill="1" applyBorder="1"/>
    <xf numFmtId="0" fontId="0" fillId="7" borderId="4" xfId="0" applyFill="1" applyBorder="1"/>
    <xf numFmtId="44" fontId="0" fillId="7" borderId="0" xfId="0" applyNumberFormat="1" applyFill="1" applyBorder="1"/>
    <xf numFmtId="44" fontId="0" fillId="7" borderId="4" xfId="0" applyNumberFormat="1" applyFill="1" applyBorder="1"/>
    <xf numFmtId="44" fontId="0" fillId="7" borderId="0" xfId="1" applyFont="1" applyFill="1" applyBorder="1"/>
    <xf numFmtId="44" fontId="0" fillId="7" borderId="6" xfId="1" applyFont="1" applyFill="1" applyBorder="1"/>
    <xf numFmtId="0" fontId="0" fillId="0" borderId="4" xfId="0" applyFill="1" applyBorder="1" applyAlignment="1">
      <alignment horizontal="center" wrapText="1"/>
    </xf>
    <xf numFmtId="0" fontId="7"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left" wrapText="1"/>
    </xf>
    <xf numFmtId="0" fontId="5" fillId="0" borderId="15" xfId="0" applyFont="1" applyBorder="1" applyAlignment="1">
      <alignment horizontal="center" vertic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476250</xdr:colOff>
      <xdr:row>44</xdr:row>
      <xdr:rowOff>114299</xdr:rowOff>
    </xdr:from>
    <xdr:to>
      <xdr:col>7</xdr:col>
      <xdr:colOff>704850</xdr:colOff>
      <xdr:row>47</xdr:row>
      <xdr:rowOff>28574</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9450" y="9334499"/>
          <a:ext cx="2457450" cy="485775"/>
        </a:xfrm>
        <a:prstGeom prst="rect">
          <a:avLst/>
        </a:prstGeom>
      </xdr:spPr>
    </xdr:pic>
    <xdr:clientData/>
  </xdr:twoCellAnchor>
  <xdr:twoCellAnchor editAs="oneCell">
    <xdr:from>
      <xdr:col>0</xdr:col>
      <xdr:colOff>104775</xdr:colOff>
      <xdr:row>44</xdr:row>
      <xdr:rowOff>190499</xdr:rowOff>
    </xdr:from>
    <xdr:to>
      <xdr:col>3</xdr:col>
      <xdr:colOff>304800</xdr:colOff>
      <xdr:row>46</xdr:row>
      <xdr:rowOff>142874</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775" y="9410699"/>
          <a:ext cx="2943225" cy="333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
  <sheetViews>
    <sheetView topLeftCell="A38" workbookViewId="0">
      <selection activeCell="F11" sqref="F11"/>
    </sheetView>
  </sheetViews>
  <sheetFormatPr defaultRowHeight="15" x14ac:dyDescent="0.25"/>
  <cols>
    <col min="3" max="3" width="10.42578125" customWidth="1"/>
  </cols>
  <sheetData>
    <row r="1" spans="1:15" x14ac:dyDescent="0.25">
      <c r="C1" t="s">
        <v>0</v>
      </c>
    </row>
    <row r="3" spans="1:15" x14ac:dyDescent="0.25">
      <c r="C3" t="s">
        <v>1</v>
      </c>
    </row>
    <row r="4" spans="1:15" x14ac:dyDescent="0.25">
      <c r="C4" s="1" t="s">
        <v>2</v>
      </c>
    </row>
    <row r="6" spans="1:15" x14ac:dyDescent="0.25">
      <c r="A6" t="s">
        <v>3</v>
      </c>
    </row>
    <row r="8" spans="1:15" x14ac:dyDescent="0.25">
      <c r="A8" s="2" t="s">
        <v>4</v>
      </c>
      <c r="D8" s="3" t="s">
        <v>5</v>
      </c>
      <c r="E8" s="4"/>
      <c r="F8" s="3" t="s">
        <v>6</v>
      </c>
      <c r="G8" s="5"/>
      <c r="L8" t="s">
        <v>7</v>
      </c>
      <c r="N8" t="s">
        <v>8</v>
      </c>
    </row>
    <row r="9" spans="1:15" x14ac:dyDescent="0.25">
      <c r="D9" s="6">
        <v>12.21</v>
      </c>
      <c r="E9" s="4" t="s">
        <v>9</v>
      </c>
      <c r="F9" s="6">
        <v>10.5</v>
      </c>
      <c r="G9" s="5" t="s">
        <v>9</v>
      </c>
      <c r="L9">
        <v>0.5</v>
      </c>
      <c r="M9" t="s">
        <v>10</v>
      </c>
      <c r="N9">
        <v>3.5</v>
      </c>
      <c r="O9" t="s">
        <v>10</v>
      </c>
    </row>
    <row r="10" spans="1:15" x14ac:dyDescent="0.25">
      <c r="D10" s="3">
        <v>50</v>
      </c>
      <c r="E10" s="4" t="s">
        <v>30</v>
      </c>
      <c r="F10" s="3">
        <v>60</v>
      </c>
      <c r="G10" s="5" t="s">
        <v>30</v>
      </c>
    </row>
    <row r="11" spans="1:15" x14ac:dyDescent="0.25">
      <c r="B11" t="s">
        <v>20</v>
      </c>
      <c r="D11" s="3">
        <v>15</v>
      </c>
      <c r="E11" s="4" t="s">
        <v>21</v>
      </c>
      <c r="F11" s="3">
        <v>8.5</v>
      </c>
      <c r="G11" s="5" t="s">
        <v>21</v>
      </c>
    </row>
    <row r="12" spans="1:15" x14ac:dyDescent="0.25">
      <c r="A12" t="s">
        <v>23</v>
      </c>
      <c r="D12" s="3"/>
      <c r="E12" s="4"/>
      <c r="F12" s="3"/>
      <c r="G12" s="5"/>
    </row>
    <row r="13" spans="1:15" x14ac:dyDescent="0.25">
      <c r="A13" t="s">
        <v>11</v>
      </c>
      <c r="D13" s="6">
        <v>0.06</v>
      </c>
      <c r="E13" s="4" t="s">
        <v>12</v>
      </c>
      <c r="F13" s="3">
        <v>0.06</v>
      </c>
      <c r="G13" s="5" t="s">
        <v>12</v>
      </c>
    </row>
    <row r="14" spans="1:15" x14ac:dyDescent="0.25">
      <c r="D14" s="6">
        <f>(D10*D13)</f>
        <v>3</v>
      </c>
      <c r="E14" s="4" t="s">
        <v>9</v>
      </c>
      <c r="F14" s="6">
        <f>(F10*F13)</f>
        <v>3.5999999999999996</v>
      </c>
      <c r="G14" s="5" t="s">
        <v>9</v>
      </c>
    </row>
    <row r="15" spans="1:15" x14ac:dyDescent="0.25">
      <c r="A15" t="s">
        <v>13</v>
      </c>
      <c r="D15" s="6">
        <v>0.05</v>
      </c>
      <c r="E15" s="4" t="s">
        <v>12</v>
      </c>
      <c r="F15" s="3">
        <v>0.05</v>
      </c>
      <c r="G15" s="5" t="s">
        <v>12</v>
      </c>
    </row>
    <row r="16" spans="1:15" x14ac:dyDescent="0.25">
      <c r="D16" s="6">
        <f>(D11*D15)</f>
        <v>0.75</v>
      </c>
      <c r="E16" s="4" t="s">
        <v>9</v>
      </c>
      <c r="F16" s="6">
        <f>(F11*F15)</f>
        <v>0.42500000000000004</v>
      </c>
      <c r="G16" s="5" t="s">
        <v>9</v>
      </c>
    </row>
    <row r="17" spans="1:7" x14ac:dyDescent="0.25">
      <c r="A17" t="s">
        <v>22</v>
      </c>
      <c r="B17" t="s">
        <v>31</v>
      </c>
      <c r="D17" s="6">
        <f>(D14+D16)</f>
        <v>3.75</v>
      </c>
      <c r="E17" s="4"/>
      <c r="F17" s="6">
        <f>(F14+F16)</f>
        <v>4.0249999999999995</v>
      </c>
      <c r="G17" s="5"/>
    </row>
    <row r="18" spans="1:7" x14ac:dyDescent="0.25">
      <c r="D18" s="6"/>
      <c r="E18" s="4"/>
      <c r="F18" s="6"/>
      <c r="G18" s="5"/>
    </row>
    <row r="19" spans="1:7" x14ac:dyDescent="0.25">
      <c r="A19" t="s">
        <v>36</v>
      </c>
      <c r="D19" s="6">
        <f>(D9+D17)</f>
        <v>15.96</v>
      </c>
      <c r="E19" s="4"/>
      <c r="F19" s="6">
        <f>(F9+F17)</f>
        <v>14.524999999999999</v>
      </c>
      <c r="G19" s="5"/>
    </row>
    <row r="20" spans="1:7" x14ac:dyDescent="0.25">
      <c r="A20" t="s">
        <v>37</v>
      </c>
      <c r="D20" s="6"/>
      <c r="E20" s="4"/>
      <c r="F20" s="6"/>
      <c r="G20" s="5"/>
    </row>
    <row r="21" spans="1:7" x14ac:dyDescent="0.25">
      <c r="D21" s="6"/>
      <c r="E21" s="4"/>
      <c r="F21" s="6"/>
      <c r="G21" s="5"/>
    </row>
    <row r="22" spans="1:7" x14ac:dyDescent="0.25">
      <c r="A22" s="2" t="s">
        <v>18</v>
      </c>
      <c r="D22" s="3"/>
      <c r="E22" s="4"/>
      <c r="F22" s="3"/>
      <c r="G22" s="5"/>
    </row>
    <row r="23" spans="1:7" x14ac:dyDescent="0.25">
      <c r="A23" t="s">
        <v>19</v>
      </c>
      <c r="D23" s="3">
        <f>(C55/2000)</f>
        <v>8.7499999999999994E-2</v>
      </c>
      <c r="E23" s="4" t="s">
        <v>12</v>
      </c>
      <c r="F23" s="3">
        <f>(C56/2000)</f>
        <v>0.13750000000000001</v>
      </c>
      <c r="G23" s="5" t="s">
        <v>12</v>
      </c>
    </row>
    <row r="24" spans="1:7" x14ac:dyDescent="0.25">
      <c r="A24" t="s">
        <v>28</v>
      </c>
      <c r="D24" s="3">
        <f>(D10-D11)</f>
        <v>35</v>
      </c>
      <c r="E24" s="4" t="s">
        <v>29</v>
      </c>
      <c r="F24" s="3">
        <f>(F10-F11)</f>
        <v>51.5</v>
      </c>
      <c r="G24" s="5" t="s">
        <v>29</v>
      </c>
    </row>
    <row r="25" spans="1:7" x14ac:dyDescent="0.25">
      <c r="D25" s="3"/>
      <c r="E25" s="4"/>
      <c r="F25" s="3"/>
      <c r="G25" s="5"/>
    </row>
    <row r="26" spans="1:7" x14ac:dyDescent="0.25">
      <c r="A26" t="s">
        <v>32</v>
      </c>
      <c r="D26" s="3">
        <f>(D23*D24)</f>
        <v>3.0625</v>
      </c>
      <c r="E26" s="4" t="s">
        <v>9</v>
      </c>
      <c r="F26" s="3">
        <f>(F23*F24)</f>
        <v>7.0812500000000007</v>
      </c>
      <c r="G26" s="5" t="s">
        <v>9</v>
      </c>
    </row>
    <row r="27" spans="1:7" x14ac:dyDescent="0.25">
      <c r="A27" t="s">
        <v>33</v>
      </c>
      <c r="D27" s="3"/>
      <c r="E27" s="4"/>
      <c r="F27" s="3"/>
      <c r="G27" s="5"/>
    </row>
    <row r="28" spans="1:7" x14ac:dyDescent="0.25">
      <c r="D28" s="3"/>
      <c r="E28" s="4"/>
      <c r="F28" s="3"/>
      <c r="G28" s="5"/>
    </row>
    <row r="29" spans="1:7" x14ac:dyDescent="0.25">
      <c r="A29" t="s">
        <v>38</v>
      </c>
      <c r="D29" s="3">
        <f>(D9-D26)</f>
        <v>9.1475000000000009</v>
      </c>
      <c r="E29" s="4" t="s">
        <v>9</v>
      </c>
      <c r="F29" s="3">
        <f>(F9-F26)</f>
        <v>3.4187499999999993</v>
      </c>
      <c r="G29" s="5" t="s">
        <v>9</v>
      </c>
    </row>
    <row r="30" spans="1:7" x14ac:dyDescent="0.25">
      <c r="A30" t="s">
        <v>39</v>
      </c>
      <c r="D30" s="3"/>
      <c r="E30" s="4"/>
      <c r="F30" s="3"/>
      <c r="G30" s="5"/>
    </row>
    <row r="31" spans="1:7" x14ac:dyDescent="0.25">
      <c r="D31" s="3"/>
      <c r="E31" s="4"/>
      <c r="F31" s="3"/>
      <c r="G31" s="5"/>
    </row>
    <row r="32" spans="1:7" x14ac:dyDescent="0.25">
      <c r="A32" t="s">
        <v>44</v>
      </c>
      <c r="D32" s="3">
        <f>(D19-D26)/(D11/7.5)</f>
        <v>6.4487500000000004</v>
      </c>
      <c r="E32" s="4" t="s">
        <v>10</v>
      </c>
      <c r="F32" s="3">
        <f>(F19-F26)/(F11/7.5)</f>
        <v>6.5680147058823515</v>
      </c>
      <c r="G32" s="5" t="s">
        <v>10</v>
      </c>
    </row>
    <row r="33" spans="1:14" x14ac:dyDescent="0.25">
      <c r="D33" s="3"/>
      <c r="E33" s="4"/>
      <c r="F33" s="3"/>
      <c r="G33" s="5"/>
    </row>
    <row r="34" spans="1:14" x14ac:dyDescent="0.25">
      <c r="D34" s="3"/>
      <c r="E34" s="4"/>
      <c r="F34" s="3"/>
      <c r="G34" s="5"/>
    </row>
    <row r="35" spans="1:14" x14ac:dyDescent="0.25">
      <c r="A35" t="s">
        <v>40</v>
      </c>
      <c r="D35" s="3"/>
      <c r="E35" s="4"/>
      <c r="F35" s="3"/>
      <c r="G35" s="5"/>
    </row>
    <row r="36" spans="1:14" x14ac:dyDescent="0.25">
      <c r="A36" t="s">
        <v>14</v>
      </c>
      <c r="D36" s="3">
        <v>7.4999999999999997E-2</v>
      </c>
      <c r="E36" s="4"/>
      <c r="F36" s="3">
        <v>7.4999999999999997E-2</v>
      </c>
      <c r="G36" s="5"/>
      <c r="L36">
        <v>7.4999999999999997E-2</v>
      </c>
      <c r="N36">
        <v>7.4999999999999997E-2</v>
      </c>
    </row>
    <row r="37" spans="1:14" x14ac:dyDescent="0.25">
      <c r="A37" t="s">
        <v>15</v>
      </c>
      <c r="D37" s="3">
        <v>0.8</v>
      </c>
      <c r="E37" s="4"/>
      <c r="F37" s="3">
        <v>0.8</v>
      </c>
      <c r="G37" s="5"/>
      <c r="L37">
        <v>0.8</v>
      </c>
      <c r="N37">
        <v>0.8</v>
      </c>
    </row>
    <row r="38" spans="1:14" x14ac:dyDescent="0.25">
      <c r="D38" s="3"/>
      <c r="E38" s="4"/>
      <c r="F38" s="3"/>
      <c r="G38" s="5"/>
    </row>
    <row r="39" spans="1:14" x14ac:dyDescent="0.25">
      <c r="A39" t="s">
        <v>16</v>
      </c>
      <c r="D39" s="3"/>
      <c r="E39" s="4"/>
      <c r="F39" s="3"/>
      <c r="G39" s="5"/>
    </row>
    <row r="40" spans="1:14" x14ac:dyDescent="0.25">
      <c r="A40" t="s">
        <v>17</v>
      </c>
      <c r="D40" s="3">
        <v>0.1</v>
      </c>
      <c r="E40" s="4"/>
      <c r="F40" s="3">
        <v>0.1</v>
      </c>
      <c r="G40" s="5"/>
      <c r="L40" s="3">
        <v>0.1</v>
      </c>
      <c r="N40" s="3">
        <v>0.1</v>
      </c>
    </row>
    <row r="41" spans="1:14" x14ac:dyDescent="0.25">
      <c r="D41" s="3"/>
      <c r="E41" s="4"/>
      <c r="F41" s="3"/>
      <c r="G41" s="5"/>
    </row>
    <row r="42" spans="1:14" x14ac:dyDescent="0.25">
      <c r="A42" t="s">
        <v>45</v>
      </c>
      <c r="D42" s="3">
        <f>SUM(D36,D37, D40)</f>
        <v>0.97499999999999998</v>
      </c>
      <c r="E42" s="4" t="s">
        <v>10</v>
      </c>
      <c r="F42" s="3">
        <f>SUM(F36,F37, F40)</f>
        <v>0.97499999999999998</v>
      </c>
      <c r="G42" s="5" t="s">
        <v>10</v>
      </c>
    </row>
    <row r="43" spans="1:14" x14ac:dyDescent="0.25">
      <c r="D43" s="3"/>
      <c r="E43" s="4"/>
      <c r="F43" s="3"/>
      <c r="G43" s="5"/>
    </row>
    <row r="44" spans="1:14" x14ac:dyDescent="0.25">
      <c r="A44" t="s">
        <v>46</v>
      </c>
      <c r="D44" s="6">
        <f>(D32+D42)</f>
        <v>7.4237500000000001</v>
      </c>
      <c r="E44" s="8" t="s">
        <v>10</v>
      </c>
      <c r="F44" s="6">
        <f>(F32+F42)</f>
        <v>7.5430147058823511</v>
      </c>
      <c r="G44" s="5" t="s">
        <v>10</v>
      </c>
    </row>
    <row r="55" spans="1:9" x14ac:dyDescent="0.25">
      <c r="A55" t="s">
        <v>24</v>
      </c>
      <c r="C55">
        <v>175</v>
      </c>
      <c r="D55" t="s">
        <v>25</v>
      </c>
    </row>
    <row r="56" spans="1:9" x14ac:dyDescent="0.25">
      <c r="A56" t="s">
        <v>26</v>
      </c>
      <c r="C56">
        <v>275</v>
      </c>
      <c r="D56" t="s">
        <v>27</v>
      </c>
    </row>
    <row r="57" spans="1:9" x14ac:dyDescent="0.25">
      <c r="A57" t="s">
        <v>34</v>
      </c>
      <c r="C57">
        <v>7.5</v>
      </c>
      <c r="D57" t="s">
        <v>35</v>
      </c>
    </row>
    <row r="58" spans="1:9" x14ac:dyDescent="0.25">
      <c r="A58" t="s">
        <v>41</v>
      </c>
      <c r="D58" s="7">
        <v>12000</v>
      </c>
      <c r="E58" t="s">
        <v>42</v>
      </c>
    </row>
    <row r="59" spans="1:9" x14ac:dyDescent="0.25">
      <c r="B59" t="s">
        <v>43</v>
      </c>
      <c r="I59" t="s">
        <v>10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9"/>
  <sheetViews>
    <sheetView workbookViewId="0">
      <selection activeCell="J8" sqref="J8:J9"/>
    </sheetView>
  </sheetViews>
  <sheetFormatPr defaultRowHeight="15" x14ac:dyDescent="0.25"/>
  <cols>
    <col min="4" max="4" width="2.7109375" bestFit="1" customWidth="1"/>
    <col min="5" max="5" width="10" bestFit="1" customWidth="1"/>
    <col min="6" max="6" width="4.5703125" bestFit="1" customWidth="1"/>
    <col min="7" max="7" width="12" bestFit="1" customWidth="1"/>
    <col min="8" max="8" width="12.85546875" bestFit="1" customWidth="1"/>
    <col min="9" max="9" width="12.85546875" customWidth="1"/>
    <col min="10" max="10" width="11.5703125" bestFit="1" customWidth="1"/>
  </cols>
  <sheetData>
    <row r="2" spans="1:10" ht="33.75" customHeight="1" x14ac:dyDescent="0.25">
      <c r="B2" t="s">
        <v>47</v>
      </c>
      <c r="C2" t="s">
        <v>52</v>
      </c>
      <c r="E2" t="s">
        <v>49</v>
      </c>
      <c r="G2" s="10" t="s">
        <v>55</v>
      </c>
      <c r="H2" s="10" t="s">
        <v>53</v>
      </c>
      <c r="I2" s="10" t="s">
        <v>58</v>
      </c>
      <c r="J2" s="10" t="s">
        <v>54</v>
      </c>
    </row>
    <row r="3" spans="1:10" x14ac:dyDescent="0.25">
      <c r="A3" t="s">
        <v>56</v>
      </c>
      <c r="G3" s="10"/>
      <c r="H3" s="10"/>
      <c r="I3" s="10"/>
      <c r="J3" s="10"/>
    </row>
    <row r="4" spans="1:10" x14ac:dyDescent="0.25">
      <c r="A4" t="s">
        <v>15</v>
      </c>
      <c r="B4" s="9">
        <v>708.9</v>
      </c>
      <c r="C4">
        <v>165</v>
      </c>
      <c r="D4" t="s">
        <v>48</v>
      </c>
      <c r="E4">
        <v>16</v>
      </c>
      <c r="F4" t="s">
        <v>48</v>
      </c>
      <c r="G4" s="11">
        <f>B4/C4*E4</f>
        <v>68.741818181818175</v>
      </c>
      <c r="H4" s="12">
        <v>64</v>
      </c>
      <c r="I4" s="12">
        <v>32</v>
      </c>
      <c r="J4" s="11">
        <f>G4/H4</f>
        <v>1.074090909090909</v>
      </c>
    </row>
    <row r="5" spans="1:10" x14ac:dyDescent="0.25">
      <c r="A5" t="s">
        <v>50</v>
      </c>
      <c r="B5" s="9">
        <v>242.51</v>
      </c>
      <c r="C5">
        <v>220</v>
      </c>
      <c r="D5" t="s">
        <v>21</v>
      </c>
      <c r="E5">
        <v>4717</v>
      </c>
      <c r="F5" t="s">
        <v>51</v>
      </c>
      <c r="G5" s="11">
        <f>(CONVERT(E5, "g", "lbm")*B5/C5)</f>
        <v>11.463232645726299</v>
      </c>
      <c r="H5" s="12">
        <v>64</v>
      </c>
      <c r="I5" s="12">
        <v>32</v>
      </c>
      <c r="J5" s="11">
        <f>G5/H5</f>
        <v>0.17911301008947342</v>
      </c>
    </row>
    <row r="7" spans="1:10" x14ac:dyDescent="0.25">
      <c r="A7" t="s">
        <v>57</v>
      </c>
    </row>
    <row r="8" spans="1:10" x14ac:dyDescent="0.25">
      <c r="A8" t="s">
        <v>15</v>
      </c>
      <c r="B8" s="9">
        <v>708.9</v>
      </c>
      <c r="C8">
        <v>165</v>
      </c>
      <c r="D8" t="s">
        <v>48</v>
      </c>
      <c r="E8">
        <v>7</v>
      </c>
      <c r="F8" t="s">
        <v>48</v>
      </c>
      <c r="G8" s="11">
        <f>B8/C8*E8</f>
        <v>30.074545454545451</v>
      </c>
      <c r="H8" s="12">
        <v>31</v>
      </c>
      <c r="I8" s="12">
        <v>11</v>
      </c>
      <c r="J8" s="11">
        <f>G8/H8</f>
        <v>0.97014662756598224</v>
      </c>
    </row>
    <row r="9" spans="1:10" x14ac:dyDescent="0.25">
      <c r="A9" t="s">
        <v>50</v>
      </c>
      <c r="B9" s="9">
        <v>242.51</v>
      </c>
      <c r="C9">
        <v>220</v>
      </c>
      <c r="D9" t="s">
        <v>21</v>
      </c>
      <c r="E9">
        <v>2063</v>
      </c>
      <c r="F9" t="s">
        <v>51</v>
      </c>
      <c r="G9" s="11">
        <f>(CONVERT(E9, "g", "lbm")*B9/C9)</f>
        <v>5.0134935230301805</v>
      </c>
      <c r="H9" s="12">
        <v>31</v>
      </c>
      <c r="I9" s="12">
        <v>11</v>
      </c>
      <c r="J9" s="11">
        <f>G9/H9</f>
        <v>0.16172559751710261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12"/>
  <sheetViews>
    <sheetView workbookViewId="0">
      <selection activeCell="I6" sqref="I6:K6"/>
    </sheetView>
  </sheetViews>
  <sheetFormatPr defaultRowHeight="15" x14ac:dyDescent="0.25"/>
  <cols>
    <col min="1" max="1" width="22.140625" bestFit="1" customWidth="1"/>
    <col min="2" max="2" width="9" bestFit="1" customWidth="1"/>
    <col min="4" max="4" width="8" style="19" bestFit="1" customWidth="1"/>
    <col min="5" max="6" width="11.42578125" customWidth="1"/>
  </cols>
  <sheetData>
    <row r="3" spans="1:7" ht="45" x14ac:dyDescent="0.25">
      <c r="A3" s="14" t="s">
        <v>16</v>
      </c>
      <c r="B3" s="15" t="s">
        <v>47</v>
      </c>
      <c r="C3" s="15" t="s">
        <v>59</v>
      </c>
      <c r="D3" s="15" t="s">
        <v>86</v>
      </c>
      <c r="E3" s="15" t="s">
        <v>62</v>
      </c>
      <c r="F3" s="15" t="s">
        <v>60</v>
      </c>
      <c r="G3" s="15" t="s">
        <v>61</v>
      </c>
    </row>
    <row r="4" spans="1:7" x14ac:dyDescent="0.25">
      <c r="A4" t="s">
        <v>63</v>
      </c>
      <c r="B4" s="13">
        <v>12000</v>
      </c>
      <c r="C4" s="12">
        <v>7</v>
      </c>
      <c r="D4" s="43">
        <v>0</v>
      </c>
      <c r="E4" t="s">
        <v>64</v>
      </c>
      <c r="F4" s="12">
        <v>6000</v>
      </c>
      <c r="G4" s="9">
        <f>(B4-D4)/C4/F4</f>
        <v>0.2857142857142857</v>
      </c>
    </row>
    <row r="5" spans="1:7" x14ac:dyDescent="0.25">
      <c r="A5" t="s">
        <v>65</v>
      </c>
      <c r="B5" s="13">
        <v>14250</v>
      </c>
      <c r="C5" s="12">
        <v>7</v>
      </c>
      <c r="D5" s="43">
        <v>0</v>
      </c>
      <c r="E5" t="s">
        <v>67</v>
      </c>
      <c r="F5" s="12">
        <v>6000</v>
      </c>
      <c r="G5" s="9">
        <f>(B5-D5)/C5/F5</f>
        <v>0.3392857142857143</v>
      </c>
    </row>
    <row r="6" spans="1:7" x14ac:dyDescent="0.25">
      <c r="A6" t="s">
        <v>66</v>
      </c>
      <c r="B6" s="13">
        <v>2395</v>
      </c>
      <c r="C6" s="12">
        <v>7</v>
      </c>
      <c r="D6" s="43">
        <v>0</v>
      </c>
      <c r="E6" t="s">
        <v>67</v>
      </c>
      <c r="F6" s="12">
        <v>6000</v>
      </c>
      <c r="G6" s="9">
        <f>(B6-D6)/C6/F6</f>
        <v>5.7023809523809525E-2</v>
      </c>
    </row>
    <row r="7" spans="1:7" x14ac:dyDescent="0.25">
      <c r="F7" s="16"/>
      <c r="G7" s="17"/>
    </row>
    <row r="8" spans="1:7" x14ac:dyDescent="0.25">
      <c r="F8" t="s">
        <v>68</v>
      </c>
      <c r="G8" s="9">
        <f>SUM(G4:G7)</f>
        <v>0.68202380952380948</v>
      </c>
    </row>
    <row r="11" spans="1:7" x14ac:dyDescent="0.25">
      <c r="A11" t="s">
        <v>69</v>
      </c>
    </row>
    <row r="12" spans="1:7" x14ac:dyDescent="0.25">
      <c r="A12" t="s">
        <v>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
  <sheetViews>
    <sheetView workbookViewId="0">
      <selection activeCell="F5" sqref="F5"/>
    </sheetView>
  </sheetViews>
  <sheetFormatPr defaultRowHeight="15" x14ac:dyDescent="0.25"/>
  <cols>
    <col min="1" max="1" width="25" bestFit="1" customWidth="1"/>
    <col min="3" max="3" width="9.140625" style="19"/>
  </cols>
  <sheetData>
    <row r="2" spans="1:6" ht="30" x14ac:dyDescent="0.25">
      <c r="A2" s="16"/>
      <c r="B2" s="15" t="s">
        <v>47</v>
      </c>
      <c r="C2" s="15" t="s">
        <v>91</v>
      </c>
      <c r="D2" s="15" t="s">
        <v>72</v>
      </c>
      <c r="E2" s="15" t="s">
        <v>73</v>
      </c>
      <c r="F2" s="103" t="s">
        <v>110</v>
      </c>
    </row>
    <row r="3" spans="1:6" x14ac:dyDescent="0.25">
      <c r="A3" t="s">
        <v>71</v>
      </c>
      <c r="B3" s="9">
        <v>335.9</v>
      </c>
      <c r="C3" s="45">
        <v>24</v>
      </c>
      <c r="D3" s="12">
        <f>C3*250</f>
        <v>6000</v>
      </c>
      <c r="E3" s="9">
        <v>0</v>
      </c>
      <c r="F3" s="9">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4"/>
  <sheetViews>
    <sheetView tabSelected="1" workbookViewId="0">
      <selection sqref="A1:J1"/>
    </sheetView>
  </sheetViews>
  <sheetFormatPr defaultRowHeight="15" x14ac:dyDescent="0.25"/>
  <cols>
    <col min="1" max="1" width="22.140625" bestFit="1" customWidth="1"/>
    <col min="2" max="2" width="13.5703125" customWidth="1"/>
    <col min="3" max="3" width="5.42578125" customWidth="1"/>
    <col min="4" max="4" width="11.140625" customWidth="1"/>
    <col min="5" max="5" width="4.7109375" style="19" customWidth="1"/>
    <col min="6" max="6" width="12.5703125" style="19" customWidth="1"/>
    <col min="7" max="7" width="5" customWidth="1"/>
    <col min="8" max="8" width="11.5703125" bestFit="1" customWidth="1"/>
    <col min="9" max="9" width="4.7109375" customWidth="1"/>
    <col min="10" max="10" width="11.85546875" customWidth="1"/>
  </cols>
  <sheetData>
    <row r="1" spans="1:16" s="19" customFormat="1" ht="23.25" x14ac:dyDescent="0.25">
      <c r="A1" s="104" t="s">
        <v>93</v>
      </c>
      <c r="B1" s="105"/>
      <c r="C1" s="105"/>
      <c r="D1" s="105"/>
      <c r="E1" s="105"/>
      <c r="F1" s="105"/>
      <c r="G1" s="105"/>
      <c r="H1" s="105"/>
      <c r="I1" s="105"/>
      <c r="J1" s="105"/>
    </row>
    <row r="2" spans="1:16" ht="18.75" x14ac:dyDescent="0.25">
      <c r="A2" s="105"/>
      <c r="B2" s="105"/>
      <c r="C2" s="105"/>
      <c r="D2" s="105"/>
      <c r="E2" s="105"/>
      <c r="F2" s="105"/>
      <c r="G2" s="105"/>
      <c r="H2" s="105"/>
      <c r="I2" s="105"/>
    </row>
    <row r="3" spans="1:16" s="19" customFormat="1" ht="19.5" thickBot="1" x14ac:dyDescent="0.3">
      <c r="A3" s="23"/>
      <c r="B3" s="107" t="s">
        <v>99</v>
      </c>
      <c r="C3" s="107"/>
      <c r="D3" s="107"/>
      <c r="E3" s="76"/>
      <c r="F3" s="76" t="s">
        <v>109</v>
      </c>
      <c r="G3" s="107" t="s">
        <v>94</v>
      </c>
      <c r="H3" s="107"/>
      <c r="I3" s="107"/>
      <c r="J3" s="107"/>
    </row>
    <row r="4" spans="1:16" ht="33" thickBot="1" x14ac:dyDescent="0.3">
      <c r="A4" s="30"/>
      <c r="B4" s="31" t="s">
        <v>84</v>
      </c>
      <c r="C4" s="32"/>
      <c r="D4" s="94" t="s">
        <v>85</v>
      </c>
      <c r="E4" s="77"/>
      <c r="F4" s="95" t="s">
        <v>100</v>
      </c>
      <c r="G4" s="42"/>
      <c r="H4" s="55" t="s">
        <v>95</v>
      </c>
      <c r="I4" s="42"/>
      <c r="J4" s="74" t="s">
        <v>97</v>
      </c>
    </row>
    <row r="5" spans="1:16" x14ac:dyDescent="0.25">
      <c r="A5" s="34" t="s">
        <v>76</v>
      </c>
      <c r="B5" s="35"/>
      <c r="C5" s="36"/>
      <c r="D5" s="84"/>
      <c r="E5" s="91"/>
      <c r="F5" s="96"/>
      <c r="G5" s="26"/>
      <c r="H5" s="47"/>
      <c r="I5" s="58"/>
      <c r="J5" s="59"/>
    </row>
    <row r="6" spans="1:16" ht="17.25" x14ac:dyDescent="0.25">
      <c r="A6" s="33" t="s">
        <v>106</v>
      </c>
      <c r="B6" s="27">
        <f>0.198*7.5</f>
        <v>1.4850000000000001</v>
      </c>
      <c r="C6" s="26"/>
      <c r="D6" s="85">
        <f>0.5573*7.5</f>
        <v>4.1797500000000003</v>
      </c>
      <c r="E6" s="92"/>
      <c r="F6" s="97">
        <f>(10.5-B34)</f>
        <v>3.4187500000000002</v>
      </c>
      <c r="G6" s="60"/>
      <c r="H6" s="48">
        <v>0.75</v>
      </c>
      <c r="I6" s="60"/>
      <c r="J6" s="61">
        <f>0.35*7.5</f>
        <v>2.625</v>
      </c>
    </row>
    <row r="7" spans="1:16" x14ac:dyDescent="0.25">
      <c r="A7" s="33"/>
      <c r="B7" s="28"/>
      <c r="C7" s="26"/>
      <c r="D7" s="86"/>
      <c r="E7" s="78"/>
      <c r="F7" s="96"/>
      <c r="G7" s="26"/>
      <c r="H7" s="49"/>
      <c r="I7" s="62"/>
      <c r="J7" s="64"/>
      <c r="K7" s="18"/>
      <c r="L7" s="18"/>
      <c r="M7" s="18"/>
      <c r="N7" s="18"/>
      <c r="O7" s="18"/>
      <c r="P7" s="18"/>
    </row>
    <row r="8" spans="1:16" x14ac:dyDescent="0.25">
      <c r="A8" s="37" t="s">
        <v>74</v>
      </c>
      <c r="B8" s="38"/>
      <c r="C8" s="16"/>
      <c r="D8" s="87"/>
      <c r="E8" s="80"/>
      <c r="F8" s="98"/>
      <c r="G8" s="16"/>
      <c r="H8" s="50"/>
      <c r="I8" s="63"/>
      <c r="J8" s="65"/>
      <c r="K8" s="18"/>
      <c r="L8" s="18"/>
      <c r="M8" s="18"/>
      <c r="N8" s="18"/>
      <c r="O8" s="18"/>
      <c r="P8" s="18"/>
    </row>
    <row r="9" spans="1:16" x14ac:dyDescent="0.25">
      <c r="A9" s="33" t="s">
        <v>15</v>
      </c>
      <c r="B9" s="29">
        <f>'Methanol KOH'!J4</f>
        <v>1.074090909090909</v>
      </c>
      <c r="C9" s="26"/>
      <c r="D9" s="88">
        <f>'Methanol KOH'!J4</f>
        <v>1.074090909090909</v>
      </c>
      <c r="E9" s="81"/>
      <c r="F9" s="99">
        <f>'Methanol KOH'!J4</f>
        <v>1.074090909090909</v>
      </c>
      <c r="G9" s="26"/>
      <c r="H9" s="51">
        <f>'Methanol KOH'!J4</f>
        <v>1.074090909090909</v>
      </c>
      <c r="I9" s="62"/>
      <c r="J9" s="66">
        <f>'Methanol KOH'!J4</f>
        <v>1.074090909090909</v>
      </c>
      <c r="K9" s="18"/>
      <c r="L9" s="18"/>
      <c r="M9" s="18"/>
      <c r="N9" s="18"/>
      <c r="O9" s="18"/>
      <c r="P9" s="18"/>
    </row>
    <row r="10" spans="1:16" x14ac:dyDescent="0.25">
      <c r="A10" s="33" t="s">
        <v>50</v>
      </c>
      <c r="B10" s="29">
        <f>'Methanol KOH'!J5</f>
        <v>0.17911301008947342</v>
      </c>
      <c r="C10" s="26"/>
      <c r="D10" s="88">
        <f>'Methanol KOH'!J5</f>
        <v>0.17911301008947342</v>
      </c>
      <c r="E10" s="81"/>
      <c r="F10" s="99">
        <f>'Methanol KOH'!J5</f>
        <v>0.17911301008947342</v>
      </c>
      <c r="G10" s="26"/>
      <c r="H10" s="52">
        <f>'Methanol KOH'!J5</f>
        <v>0.17911301008947342</v>
      </c>
      <c r="I10" s="62"/>
      <c r="J10" s="67">
        <f>'Methanol KOH'!J5</f>
        <v>0.17911301008947342</v>
      </c>
      <c r="K10" s="18"/>
      <c r="L10" s="18"/>
      <c r="M10" s="18"/>
      <c r="N10" s="18"/>
      <c r="O10" s="18"/>
      <c r="P10" s="18"/>
    </row>
    <row r="11" spans="1:16" x14ac:dyDescent="0.25">
      <c r="A11" s="33"/>
      <c r="B11" s="29"/>
      <c r="C11" s="26"/>
      <c r="D11" s="88"/>
      <c r="E11" s="81"/>
      <c r="F11" s="99"/>
      <c r="G11" s="26"/>
      <c r="H11" s="52"/>
      <c r="I11" s="62"/>
      <c r="J11" s="67"/>
      <c r="K11" s="18"/>
      <c r="L11" s="18"/>
      <c r="M11" s="18"/>
      <c r="N11" s="18"/>
      <c r="O11" s="18"/>
      <c r="P11" s="18"/>
    </row>
    <row r="12" spans="1:16" x14ac:dyDescent="0.25">
      <c r="A12" s="37" t="s">
        <v>16</v>
      </c>
      <c r="B12" s="38"/>
      <c r="C12" s="16"/>
      <c r="D12" s="87"/>
      <c r="E12" s="78"/>
      <c r="F12" s="98"/>
      <c r="G12" s="26"/>
      <c r="H12" s="50"/>
      <c r="I12" s="62"/>
      <c r="J12" s="68"/>
      <c r="K12" s="18"/>
      <c r="L12" s="18"/>
      <c r="M12" s="18"/>
      <c r="N12" s="18"/>
      <c r="O12" s="18"/>
      <c r="P12" s="18"/>
    </row>
    <row r="13" spans="1:16" x14ac:dyDescent="0.25">
      <c r="A13" s="33" t="s">
        <v>63</v>
      </c>
      <c r="B13" s="29">
        <f>Equip!G4</f>
        <v>0.2857142857142857</v>
      </c>
      <c r="C13" s="26"/>
      <c r="D13" s="88">
        <f>Equip!G4</f>
        <v>0.2857142857142857</v>
      </c>
      <c r="E13" s="93"/>
      <c r="F13" s="99">
        <f>Equip!G4</f>
        <v>0.2857142857142857</v>
      </c>
      <c r="G13" s="60"/>
      <c r="H13" s="52">
        <f>Equip!G4</f>
        <v>0.2857142857142857</v>
      </c>
      <c r="I13" s="60"/>
      <c r="J13" s="66">
        <f>Equip!G4</f>
        <v>0.2857142857142857</v>
      </c>
    </row>
    <row r="14" spans="1:16" x14ac:dyDescent="0.25">
      <c r="A14" s="33" t="s">
        <v>65</v>
      </c>
      <c r="B14" s="29">
        <f>Equip!G5</f>
        <v>0.3392857142857143</v>
      </c>
      <c r="C14" s="26"/>
      <c r="D14" s="88">
        <f>Equip!G5</f>
        <v>0.3392857142857143</v>
      </c>
      <c r="E14" s="81"/>
      <c r="F14" s="99">
        <f>Equip!G5</f>
        <v>0.3392857142857143</v>
      </c>
      <c r="G14" s="26"/>
      <c r="H14" s="52"/>
      <c r="I14" s="26"/>
      <c r="J14" s="67"/>
    </row>
    <row r="15" spans="1:16" x14ac:dyDescent="0.25">
      <c r="A15" s="33" t="s">
        <v>66</v>
      </c>
      <c r="B15" s="29">
        <f>Equip!G6</f>
        <v>5.7023809523809525E-2</v>
      </c>
      <c r="C15" s="26"/>
      <c r="D15" s="88">
        <f>Equip!G6</f>
        <v>5.7023809523809525E-2</v>
      </c>
      <c r="E15" s="81"/>
      <c r="F15" s="99">
        <f>Equip!G6</f>
        <v>5.7023809523809525E-2</v>
      </c>
      <c r="G15" s="26"/>
      <c r="H15" s="52">
        <f>Equip!G6</f>
        <v>5.7023809523809525E-2</v>
      </c>
      <c r="I15" s="26"/>
      <c r="J15" s="67"/>
    </row>
    <row r="16" spans="1:16" x14ac:dyDescent="0.25">
      <c r="A16" s="33"/>
      <c r="B16" s="29"/>
      <c r="C16" s="26"/>
      <c r="D16" s="88"/>
      <c r="E16" s="81"/>
      <c r="F16" s="99"/>
      <c r="G16" s="26"/>
      <c r="H16" s="52"/>
      <c r="I16" s="26"/>
      <c r="J16" s="67"/>
    </row>
    <row r="17" spans="1:10" x14ac:dyDescent="0.25">
      <c r="A17" s="37" t="s">
        <v>75</v>
      </c>
      <c r="B17" s="39"/>
      <c r="C17" s="16"/>
      <c r="D17" s="89"/>
      <c r="E17" s="82"/>
      <c r="F17" s="100"/>
      <c r="G17" s="16"/>
      <c r="H17" s="53"/>
      <c r="I17" s="16"/>
      <c r="J17" s="69"/>
    </row>
    <row r="18" spans="1:10" x14ac:dyDescent="0.25">
      <c r="A18" s="33" t="s">
        <v>92</v>
      </c>
      <c r="B18" s="20">
        <f>'Fuel Treatment'!E3</f>
        <v>0</v>
      </c>
      <c r="C18" s="26"/>
      <c r="D18" s="85">
        <f>'Fuel Treatment'!E3</f>
        <v>0</v>
      </c>
      <c r="E18" s="79"/>
      <c r="F18" s="101">
        <f>'Fuel Treatment'!E3</f>
        <v>0</v>
      </c>
      <c r="G18" s="26"/>
      <c r="H18" s="54">
        <f>'Fuel Treatment'!E3</f>
        <v>0</v>
      </c>
      <c r="I18" s="26"/>
      <c r="J18" s="61">
        <f>'Fuel Treatment'!E3</f>
        <v>0</v>
      </c>
    </row>
    <row r="19" spans="1:10" x14ac:dyDescent="0.25">
      <c r="A19" s="33" t="s">
        <v>77</v>
      </c>
      <c r="B19" s="20"/>
      <c r="C19" s="26"/>
      <c r="D19" s="85"/>
      <c r="E19" s="79"/>
      <c r="F19" s="101"/>
      <c r="G19" s="26"/>
      <c r="H19" s="54"/>
      <c r="I19" s="26"/>
      <c r="J19" s="57"/>
    </row>
    <row r="20" spans="1:10" ht="17.25" x14ac:dyDescent="0.25">
      <c r="A20" s="33" t="s">
        <v>83</v>
      </c>
      <c r="B20" s="20">
        <v>0.02</v>
      </c>
      <c r="C20" s="26"/>
      <c r="D20" s="85">
        <v>0.02</v>
      </c>
      <c r="E20" s="79"/>
      <c r="F20" s="101">
        <v>0.02</v>
      </c>
      <c r="G20" s="26"/>
      <c r="H20" s="54">
        <v>0.02</v>
      </c>
      <c r="I20" s="26"/>
      <c r="J20" s="57">
        <v>0.02</v>
      </c>
    </row>
    <row r="21" spans="1:10" ht="17.25" x14ac:dyDescent="0.25">
      <c r="A21" s="33" t="s">
        <v>82</v>
      </c>
      <c r="B21" s="20">
        <v>0.05</v>
      </c>
      <c r="C21" s="26"/>
      <c r="D21" s="85">
        <v>0.05</v>
      </c>
      <c r="E21" s="79"/>
      <c r="F21" s="101">
        <v>0.05</v>
      </c>
      <c r="G21" s="26"/>
      <c r="H21" s="54">
        <v>0.05</v>
      </c>
      <c r="I21" s="26"/>
      <c r="J21" s="57">
        <v>0.05</v>
      </c>
    </row>
    <row r="22" spans="1:10" x14ac:dyDescent="0.25">
      <c r="A22" s="33"/>
      <c r="B22" s="28"/>
      <c r="C22" s="26"/>
      <c r="D22" s="86"/>
      <c r="E22" s="78"/>
      <c r="F22" s="96"/>
      <c r="G22" s="26"/>
      <c r="H22" s="47"/>
      <c r="I22" s="26"/>
      <c r="J22" s="71"/>
    </row>
    <row r="23" spans="1:10" ht="15.75" thickBot="1" x14ac:dyDescent="0.3">
      <c r="A23" s="33"/>
      <c r="B23" s="28"/>
      <c r="C23" s="26"/>
      <c r="D23" s="86"/>
      <c r="E23" s="78"/>
      <c r="F23" s="96"/>
      <c r="G23" s="70"/>
      <c r="H23" s="47"/>
      <c r="I23" s="70"/>
      <c r="J23" s="72"/>
    </row>
    <row r="24" spans="1:10" ht="15.75" thickBot="1" x14ac:dyDescent="0.3">
      <c r="A24" s="40" t="s">
        <v>61</v>
      </c>
      <c r="B24" s="41">
        <f>SUM(B5:B23)</f>
        <v>3.4902277287041916</v>
      </c>
      <c r="C24" s="42"/>
      <c r="D24" s="90">
        <f>SUM(D5:D23)</f>
        <v>6.184977728704192</v>
      </c>
      <c r="E24" s="83"/>
      <c r="F24" s="102">
        <f>SUM(F5:F23)</f>
        <v>5.4239777287041919</v>
      </c>
      <c r="G24" s="42"/>
      <c r="H24" s="56">
        <f>SUM(H5:H23)</f>
        <v>2.4159420144184773</v>
      </c>
      <c r="I24" s="42"/>
      <c r="J24" s="73">
        <f>SUM(J5:J23)</f>
        <v>4.2339182048946675</v>
      </c>
    </row>
    <row r="25" spans="1:10" s="19" customFormat="1" x14ac:dyDescent="0.25">
      <c r="A25" s="2"/>
      <c r="B25" s="21"/>
      <c r="C25" s="22"/>
      <c r="D25" s="21"/>
      <c r="E25" s="21"/>
      <c r="F25" s="21"/>
      <c r="H25" s="21"/>
    </row>
    <row r="26" spans="1:10" s="19" customFormat="1" ht="17.25" x14ac:dyDescent="0.25">
      <c r="A26" s="24" t="s">
        <v>101</v>
      </c>
      <c r="B26" s="21"/>
      <c r="C26" s="22"/>
      <c r="D26" s="21"/>
      <c r="E26" s="21"/>
      <c r="F26" s="21"/>
    </row>
    <row r="27" spans="1:10" s="19" customFormat="1" x14ac:dyDescent="0.25">
      <c r="A27" s="24" t="s">
        <v>102</v>
      </c>
      <c r="B27" s="21"/>
      <c r="C27" s="22"/>
      <c r="D27" s="21"/>
      <c r="E27" s="21"/>
      <c r="F27" s="21"/>
    </row>
    <row r="28" spans="1:10" ht="17.25" x14ac:dyDescent="0.25">
      <c r="A28" s="19" t="s">
        <v>103</v>
      </c>
      <c r="C28" s="19"/>
    </row>
    <row r="29" spans="1:10" ht="17.25" x14ac:dyDescent="0.25">
      <c r="A29" t="s">
        <v>87</v>
      </c>
    </row>
    <row r="30" spans="1:10" x14ac:dyDescent="0.25">
      <c r="A30" s="25" t="s">
        <v>80</v>
      </c>
    </row>
    <row r="31" spans="1:10" ht="17.25" x14ac:dyDescent="0.25">
      <c r="A31" s="19" t="s">
        <v>88</v>
      </c>
    </row>
    <row r="32" spans="1:10" ht="17.25" x14ac:dyDescent="0.25">
      <c r="A32" s="19" t="s">
        <v>89</v>
      </c>
      <c r="B32" s="19"/>
      <c r="C32" s="19"/>
      <c r="D32" s="19"/>
      <c r="G32" s="19"/>
    </row>
    <row r="33" spans="1:9" x14ac:dyDescent="0.25">
      <c r="A33" s="19" t="s">
        <v>81</v>
      </c>
      <c r="B33" s="9">
        <v>3.0625</v>
      </c>
      <c r="C33" s="19" t="s">
        <v>104</v>
      </c>
      <c r="G33" s="19" t="s">
        <v>107</v>
      </c>
    </row>
    <row r="34" spans="1:9" s="19" customFormat="1" x14ac:dyDescent="0.25">
      <c r="B34" s="9">
        <v>7.0812499999999998</v>
      </c>
      <c r="C34" s="19" t="s">
        <v>105</v>
      </c>
      <c r="H34" s="19" t="s">
        <v>108</v>
      </c>
    </row>
    <row r="35" spans="1:9" x14ac:dyDescent="0.25">
      <c r="A35" s="19" t="s">
        <v>96</v>
      </c>
      <c r="B35" s="9">
        <v>4.18</v>
      </c>
      <c r="C35" s="44" t="s">
        <v>90</v>
      </c>
      <c r="D35" s="19"/>
    </row>
    <row r="36" spans="1:9" x14ac:dyDescent="0.25">
      <c r="A36" s="19" t="s">
        <v>98</v>
      </c>
    </row>
    <row r="37" spans="1:9" s="19" customFormat="1" x14ac:dyDescent="0.25"/>
    <row r="38" spans="1:9" ht="27" customHeight="1" x14ac:dyDescent="0.25">
      <c r="A38" s="106" t="s">
        <v>78</v>
      </c>
      <c r="B38" s="106"/>
      <c r="C38" s="106"/>
      <c r="D38" s="106"/>
      <c r="E38" s="106"/>
      <c r="F38" s="106"/>
      <c r="G38" s="106"/>
      <c r="H38" s="106"/>
      <c r="I38" s="106"/>
    </row>
    <row r="40" spans="1:9" ht="15" customHeight="1" x14ac:dyDescent="0.25">
      <c r="A40" s="106" t="s">
        <v>79</v>
      </c>
      <c r="B40" s="106"/>
      <c r="C40" s="106"/>
      <c r="D40" s="106"/>
      <c r="E40" s="106"/>
      <c r="F40" s="106"/>
      <c r="G40" s="106"/>
      <c r="H40" s="106"/>
      <c r="I40" s="106"/>
    </row>
    <row r="41" spans="1:9" x14ac:dyDescent="0.25">
      <c r="A41" s="106"/>
      <c r="B41" s="106"/>
      <c r="C41" s="106"/>
      <c r="D41" s="106"/>
      <c r="E41" s="106"/>
      <c r="F41" s="106"/>
      <c r="G41" s="106"/>
      <c r="H41" s="106"/>
      <c r="I41" s="106"/>
    </row>
    <row r="42" spans="1:9" x14ac:dyDescent="0.25">
      <c r="A42" s="106"/>
      <c r="B42" s="106"/>
      <c r="C42" s="106"/>
      <c r="D42" s="106"/>
      <c r="E42" s="106"/>
      <c r="F42" s="106"/>
      <c r="G42" s="106"/>
      <c r="H42" s="106"/>
      <c r="I42" s="106"/>
    </row>
    <row r="43" spans="1:9" x14ac:dyDescent="0.25">
      <c r="A43" s="106"/>
      <c r="B43" s="106"/>
      <c r="C43" s="106"/>
      <c r="D43" s="106"/>
      <c r="E43" s="106"/>
      <c r="F43" s="106"/>
      <c r="G43" s="106"/>
      <c r="H43" s="106"/>
      <c r="I43" s="106"/>
    </row>
    <row r="44" spans="1:9" s="19" customFormat="1" x14ac:dyDescent="0.25">
      <c r="A44" s="46"/>
      <c r="B44" s="46"/>
      <c r="C44" s="46"/>
      <c r="D44" s="46"/>
      <c r="E44" s="75"/>
      <c r="F44" s="75"/>
      <c r="G44" s="46"/>
      <c r="H44" s="46"/>
      <c r="I44" s="46"/>
    </row>
  </sheetData>
  <mergeCells count="6">
    <mergeCell ref="A1:J1"/>
    <mergeCell ref="A38:I38"/>
    <mergeCell ref="A40:I43"/>
    <mergeCell ref="A2:I2"/>
    <mergeCell ref="B3:D3"/>
    <mergeCell ref="G3:J3"/>
  </mergeCells>
  <pageMargins left="0.7" right="0.7" top="0.75" bottom="0.75" header="0.3" footer="0.3"/>
  <pageSetup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Methanol KOH</vt:lpstr>
      <vt:lpstr>Equip</vt:lpstr>
      <vt:lpstr>Fuel Treatment</vt:lpstr>
      <vt:lpstr>Total Cost</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Seamon</dc:creator>
  <cp:lastModifiedBy>Dennis Pennington</cp:lastModifiedBy>
  <cp:lastPrinted>2012-09-11T18:13:22Z</cp:lastPrinted>
  <dcterms:created xsi:type="dcterms:W3CDTF">2012-01-10T18:51:04Z</dcterms:created>
  <dcterms:modified xsi:type="dcterms:W3CDTF">2012-12-04T17:45:13Z</dcterms:modified>
</cp:coreProperties>
</file>