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5195" windowHeight="8445"/>
  </bookViews>
  <sheets>
    <sheet name="INPUTS" sheetId="1" r:id="rId1"/>
    <sheet name="OUTPUT" sheetId="2" r:id="rId2"/>
  </sheets>
  <calcPr calcId="145621"/>
  <webPublishObjects count="1">
    <webPublishObject id="18722" divId="Hopyard cost analysis_18722" destinationFile="H:\Charlie's folder\Hops\Hopyard cost analysis.htm"/>
  </webPublishObjects>
</workbook>
</file>

<file path=xl/calcChain.xml><?xml version="1.0" encoding="utf-8"?>
<calcChain xmlns="http://schemas.openxmlformats.org/spreadsheetml/2006/main">
  <c r="C5" i="2" l="1"/>
  <c r="G5" i="2" s="1"/>
  <c r="E21" i="2"/>
  <c r="E26" i="2" s="1"/>
  <c r="E25" i="2"/>
  <c r="C10" i="2"/>
  <c r="D10" i="2" s="1"/>
  <c r="C13" i="2"/>
  <c r="D13" i="2" s="1"/>
  <c r="C16" i="2"/>
  <c r="D16" i="2" s="1"/>
  <c r="C17" i="2"/>
  <c r="D17" i="2" s="1"/>
  <c r="C18" i="2"/>
  <c r="D18" i="2" s="1"/>
  <c r="C19" i="2"/>
  <c r="D19" i="2" s="1"/>
  <c r="C6" i="2"/>
  <c r="D31" i="1"/>
  <c r="D30" i="1"/>
  <c r="D29" i="1"/>
  <c r="C14" i="2" l="1"/>
  <c r="D14" i="2" s="1"/>
  <c r="C22" i="2"/>
  <c r="C15" i="2"/>
  <c r="D15" i="2" s="1"/>
  <c r="C21" i="2"/>
  <c r="D21" i="2" s="1"/>
  <c r="C11" i="2"/>
  <c r="D11" i="2" l="1"/>
  <c r="D12" i="2"/>
  <c r="C20" i="2"/>
  <c r="D20" i="2" s="1"/>
  <c r="C7" i="2"/>
  <c r="D22" i="2"/>
  <c r="D24" i="2" l="1"/>
  <c r="D25" i="2" s="1"/>
  <c r="D26" i="2" l="1"/>
  <c r="D27" i="2"/>
</calcChain>
</file>

<file path=xl/sharedStrings.xml><?xml version="1.0" encoding="utf-8"?>
<sst xmlns="http://schemas.openxmlformats.org/spreadsheetml/2006/main" count="118" uniqueCount="87">
  <si>
    <t>Cost</t>
  </si>
  <si>
    <t>End Poles</t>
  </si>
  <si>
    <t>Line Poles</t>
  </si>
  <si>
    <t>Lamination</t>
  </si>
  <si>
    <t>/ea</t>
  </si>
  <si>
    <t>Earth Anchor</t>
  </si>
  <si>
    <t>Main Line</t>
  </si>
  <si>
    <t>Turnbuckles</t>
  </si>
  <si>
    <t>Thimbles</t>
  </si>
  <si>
    <t>Eyebolts</t>
  </si>
  <si>
    <t>Mall Clips</t>
  </si>
  <si>
    <t>Support</t>
  </si>
  <si>
    <t>Per</t>
  </si>
  <si>
    <t>/linear foot (mesh support)</t>
  </si>
  <si>
    <t>Low Wire</t>
  </si>
  <si>
    <t>/ft</t>
  </si>
  <si>
    <t>Rhizomes</t>
  </si>
  <si>
    <t>/ea (string support)</t>
  </si>
  <si>
    <t>(cost for materials for 1 finished line pole)</t>
  </si>
  <si>
    <t>(cost for materials for 1 finished end pole)</t>
  </si>
  <si>
    <t>(for support of strings or mesh from the trellis poles, includes guy wires)</t>
  </si>
  <si>
    <t>(for lower support of strings or mesh, and/or irrigation)</t>
  </si>
  <si>
    <t>(used to secure guy lines to ground, 1 per end pole)</t>
  </si>
  <si>
    <t>(to tighten guy lines extending from end poles to earth anchors, 1 per earth anchor))</t>
  </si>
  <si>
    <t>(1 to secure main line to end pole + 1 to secure guy line to end pole)</t>
  </si>
  <si>
    <t>(to secure main line to itself, 1 per thimble)</t>
  </si>
  <si>
    <t>(cost per rhizome)</t>
  </si>
  <si>
    <t>(to prevent main line crimping through eye bolts or turnbuckle, 2 per guy line + 1 per end pole for main line)</t>
  </si>
  <si>
    <t>Raw Material</t>
  </si>
  <si>
    <t>description</t>
  </si>
  <si>
    <t>Row Length</t>
  </si>
  <si>
    <t>Spacing Parameter</t>
  </si>
  <si>
    <t>Feet</t>
  </si>
  <si>
    <t>Between Rows</t>
  </si>
  <si>
    <t>Between Rhizomes</t>
  </si>
  <si>
    <t>Between Poles</t>
  </si>
  <si>
    <t>(Maximum spacing between poles within a row)</t>
  </si>
  <si>
    <t>Yield</t>
  </si>
  <si>
    <t>Year 1</t>
  </si>
  <si>
    <t>Year 2</t>
  </si>
  <si>
    <t>Average, years 3-10</t>
  </si>
  <si>
    <t>Per Plant</t>
  </si>
  <si>
    <t>Per Acre</t>
  </si>
  <si>
    <t>&lt;---CHOOSE per plant or per Acre (drop-down)</t>
  </si>
  <si>
    <t>&lt;---CHOOSE MESH OR STRING (cost per linear foot of mesh OR cost per string, 1 string per rhizome)</t>
  </si>
  <si>
    <t>Number</t>
  </si>
  <si>
    <t>&lt;---CHOOSE are you using supports (wire, guy lines) ACROSS rows as well as WITHIN rows (for larger hop yards)?</t>
  </si>
  <si>
    <t>YES</t>
  </si>
  <si>
    <t>NO</t>
  </si>
  <si>
    <t>(cost to secure materials together to make a single pole, per finished pole, assumes end AND line poles are laminated)</t>
  </si>
  <si>
    <t>row feet:</t>
  </si>
  <si>
    <t>pounds per acre</t>
  </si>
  <si>
    <t>10-year average yield:</t>
  </si>
  <si>
    <t>COST PER RHIZOME:</t>
  </si>
  <si>
    <t>year 1</t>
  </si>
  <si>
    <t>pounds per plant</t>
  </si>
  <si>
    <t>typical cost</t>
  </si>
  <si>
    <t>$10-35</t>
  </si>
  <si>
    <t>$0-2</t>
  </si>
  <si>
    <t>$5-10</t>
  </si>
  <si>
    <t>~$0.22</t>
  </si>
  <si>
    <t>~$0.01</t>
  </si>
  <si>
    <t>$8-15</t>
  </si>
  <si>
    <t>~$0.17</t>
  </si>
  <si>
    <t>$2-5</t>
  </si>
  <si>
    <t>~$0.15</t>
  </si>
  <si>
    <t>$0.35 (string), $0.35-0.60 (mesh)</t>
  </si>
  <si>
    <t>$1.50-6</t>
  </si>
  <si>
    <t>typical</t>
  </si>
  <si>
    <t>100-800</t>
  </si>
  <si>
    <t>9-15</t>
  </si>
  <si>
    <t>3-7</t>
  </si>
  <si>
    <t>30-50</t>
  </si>
  <si>
    <t>60% of full</t>
  </si>
  <si>
    <t>1000-2400 #/A</t>
  </si>
  <si>
    <t>low trellis = less yield</t>
  </si>
  <si>
    <t>TOTAL COST per Acre, year 1:</t>
  </si>
  <si>
    <t>Calculations are on a per-acre basis unless indicated, for trellis and planting materials only.  Labor and irrigation costs are not included.</t>
  </si>
  <si>
    <t>TRELLIS COST PER POUND OF HOPS HARVESTED:</t>
  </si>
  <si>
    <t>number of rows per Acre:</t>
  </si>
  <si>
    <t xml:space="preserve">INSTRUCTIONS: Change values in yellow boxes to indicate a) what you pay for each item, b) pole and plant spacing, and c) predicted yield.  Select from the drop-down menus where "&lt;---CHOOSE" is indicated.  Go to the 'OUTPUT' sheet (on the bottom of the page) when you are finished.  </t>
  </si>
  <si>
    <t>COST PER ROW:</t>
  </si>
  <si>
    <t>Fence Staples</t>
  </si>
  <si>
    <t>(to secure low wire and main line to line poles)</t>
  </si>
  <si>
    <t>~0.07</t>
  </si>
  <si>
    <t>Averaged over years 1-10</t>
  </si>
  <si>
    <t>Questions?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</si>
</sst>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12" x14ac:knownFonts="1">
    <font>
      <sz val="10"/>
      <name val="Arial"/>
    </font>
    <font>
      <sz val="10"/>
      <color indexed="9"/>
      <name val="Arial"/>
    </font>
    <font>
      <sz val="8"/>
      <name val="Arial"/>
    </font>
    <font>
      <b/>
      <sz val="10"/>
      <color indexed="9"/>
      <name val="Arial"/>
      <family val="2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color indexed="19"/>
      <name val="Arial"/>
    </font>
    <font>
      <b/>
      <sz val="11"/>
      <color indexed="9"/>
      <name val="Arial"/>
      <family val="2"/>
    </font>
    <font>
      <u/>
      <sz val="10"/>
      <color indexed="12"/>
      <name val="Arial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9"/>
      </top>
      <bottom style="thin">
        <color indexed="22"/>
      </bottom>
      <diagonal/>
    </border>
    <border>
      <left/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22"/>
      </top>
      <bottom style="thin">
        <color indexed="9"/>
      </bottom>
      <diagonal/>
    </border>
    <border>
      <left/>
      <right/>
      <top style="medium">
        <color indexed="9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Border="1"/>
    <xf numFmtId="164" fontId="0" fillId="3" borderId="0" xfId="0" applyNumberFormat="1" applyFill="1" applyBorder="1"/>
    <xf numFmtId="0" fontId="1" fillId="2" borderId="1" xfId="0" applyFont="1" applyFill="1" applyBorder="1"/>
    <xf numFmtId="0" fontId="1" fillId="2" borderId="1" xfId="0" quotePrefix="1" applyFont="1" applyFill="1" applyBorder="1"/>
    <xf numFmtId="0" fontId="1" fillId="2" borderId="2" xfId="0" applyFont="1" applyFill="1" applyBorder="1"/>
    <xf numFmtId="0" fontId="1" fillId="2" borderId="2" xfId="0" quotePrefix="1" applyFont="1" applyFill="1" applyBorder="1"/>
    <xf numFmtId="0" fontId="3" fillId="2" borderId="3" xfId="0" applyFont="1" applyFill="1" applyBorder="1"/>
    <xf numFmtId="0" fontId="0" fillId="2" borderId="3" xfId="0" applyFill="1" applyBorder="1"/>
    <xf numFmtId="164" fontId="0" fillId="3" borderId="4" xfId="0" applyNumberFormat="1" applyFill="1" applyBorder="1"/>
    <xf numFmtId="0" fontId="1" fillId="2" borderId="5" xfId="0" applyFont="1" applyFill="1" applyBorder="1"/>
    <xf numFmtId="0" fontId="0" fillId="3" borderId="0" xfId="0" applyNumberFormat="1" applyFill="1" applyBorder="1"/>
    <xf numFmtId="0" fontId="0" fillId="3" borderId="4" xfId="0" applyNumberForma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1" fillId="0" borderId="0" xfId="0" applyFont="1"/>
    <xf numFmtId="0" fontId="0" fillId="3" borderId="0" xfId="0" applyFill="1"/>
    <xf numFmtId="0" fontId="1" fillId="4" borderId="0" xfId="0" applyFont="1" applyFill="1"/>
    <xf numFmtId="164" fontId="1" fillId="4" borderId="0" xfId="0" applyNumberFormat="1" applyFont="1" applyFill="1"/>
    <xf numFmtId="0" fontId="1" fillId="2" borderId="0" xfId="0" applyFont="1" applyFill="1" applyAlignment="1">
      <alignment horizontal="right"/>
    </xf>
    <xf numFmtId="0" fontId="1" fillId="0" borderId="0" xfId="0" applyFont="1" applyFill="1" applyAlignment="1">
      <alignment wrapText="1"/>
    </xf>
    <xf numFmtId="1" fontId="1" fillId="4" borderId="0" xfId="0" applyNumberFormat="1" applyFont="1" applyFill="1"/>
    <xf numFmtId="165" fontId="1" fillId="4" borderId="8" xfId="0" applyNumberFormat="1" applyFont="1" applyFill="1" applyBorder="1"/>
    <xf numFmtId="164" fontId="1" fillId="4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2" borderId="6" xfId="0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2" xfId="0" quotePrefix="1" applyNumberFormat="1" applyFont="1" applyFill="1" applyBorder="1" applyAlignment="1">
      <alignment horizontal="right"/>
    </xf>
    <xf numFmtId="0" fontId="1" fillId="2" borderId="2" xfId="0" quotePrefix="1" applyFont="1" applyFill="1" applyBorder="1" applyAlignment="1">
      <alignment horizontal="right"/>
    </xf>
    <xf numFmtId="0" fontId="3" fillId="2" borderId="12" xfId="0" applyFont="1" applyFill="1" applyBorder="1"/>
    <xf numFmtId="0" fontId="4" fillId="2" borderId="1" xfId="0" quotePrefix="1" applyFont="1" applyFill="1" applyBorder="1" applyProtection="1">
      <protection hidden="1"/>
    </xf>
    <xf numFmtId="0" fontId="1" fillId="2" borderId="8" xfId="0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right"/>
    </xf>
    <xf numFmtId="0" fontId="5" fillId="3" borderId="12" xfId="0" applyFont="1" applyFill="1" applyBorder="1"/>
    <xf numFmtId="0" fontId="6" fillId="3" borderId="0" xfId="0" applyFont="1" applyFill="1" applyAlignment="1">
      <alignment horizontal="right"/>
    </xf>
    <xf numFmtId="0" fontId="4" fillId="3" borderId="13" xfId="0" applyFont="1" applyFill="1" applyBorder="1"/>
    <xf numFmtId="0" fontId="0" fillId="5" borderId="0" xfId="0" applyFill="1"/>
    <xf numFmtId="0" fontId="0" fillId="5" borderId="0" xfId="0" applyFill="1" applyProtection="1">
      <protection hidden="1"/>
    </xf>
    <xf numFmtId="0" fontId="1" fillId="5" borderId="0" xfId="0" applyFont="1" applyFill="1" applyProtection="1">
      <protection hidden="1"/>
    </xf>
    <xf numFmtId="0" fontId="8" fillId="5" borderId="0" xfId="0" applyFont="1" applyFill="1"/>
    <xf numFmtId="0" fontId="8" fillId="5" borderId="0" xfId="0" applyFont="1" applyFill="1" applyProtection="1">
      <protection hidden="1"/>
    </xf>
    <xf numFmtId="0" fontId="7" fillId="5" borderId="0" xfId="0" applyFont="1" applyFill="1" applyBorder="1"/>
    <xf numFmtId="0" fontId="8" fillId="5" borderId="0" xfId="0" quotePrefix="1" applyFont="1" applyFill="1" applyBorder="1"/>
    <xf numFmtId="0" fontId="9" fillId="5" borderId="0" xfId="0" applyFont="1" applyFill="1"/>
    <xf numFmtId="0" fontId="9" fillId="5" borderId="0" xfId="0" applyFont="1" applyFill="1" applyProtection="1">
      <protection hidden="1"/>
    </xf>
    <xf numFmtId="0" fontId="9" fillId="5" borderId="0" xfId="0" applyFont="1" applyFill="1" applyAlignment="1">
      <alignment horizontal="right"/>
    </xf>
    <xf numFmtId="0" fontId="1" fillId="5" borderId="0" xfId="0" applyFont="1" applyFill="1"/>
    <xf numFmtId="0" fontId="0" fillId="5" borderId="1" xfId="0" applyFill="1" applyBorder="1"/>
    <xf numFmtId="0" fontId="0" fillId="5" borderId="1" xfId="0" applyFill="1" applyBorder="1" applyProtection="1">
      <protection hidden="1"/>
    </xf>
    <xf numFmtId="0" fontId="1" fillId="5" borderId="14" xfId="0" applyFont="1" applyFill="1" applyBorder="1"/>
    <xf numFmtId="0" fontId="0" fillId="5" borderId="14" xfId="0" applyNumberFormat="1" applyFill="1" applyBorder="1"/>
    <xf numFmtId="0" fontId="1" fillId="5" borderId="1" xfId="0" quotePrefix="1" applyFont="1" applyFill="1" applyBorder="1"/>
    <xf numFmtId="0" fontId="1" fillId="5" borderId="0" xfId="0" applyFont="1" applyFill="1" applyBorder="1"/>
    <xf numFmtId="0" fontId="9" fillId="5" borderId="1" xfId="0" applyFont="1" applyFill="1" applyBorder="1"/>
    <xf numFmtId="0" fontId="0" fillId="5" borderId="0" xfId="0" applyFill="1" applyBorder="1"/>
    <xf numFmtId="0" fontId="9" fillId="5" borderId="0" xfId="0" applyFont="1" applyFill="1" applyBorder="1"/>
    <xf numFmtId="0" fontId="0" fillId="5" borderId="8" xfId="0" applyFill="1" applyBorder="1"/>
    <xf numFmtId="164" fontId="1" fillId="5" borderId="0" xfId="0" applyNumberFormat="1" applyFont="1" applyFill="1"/>
    <xf numFmtId="0" fontId="1" fillId="5" borderId="0" xfId="0" applyFont="1" applyFill="1" applyAlignment="1">
      <alignment wrapText="1"/>
    </xf>
    <xf numFmtId="164" fontId="1" fillId="5" borderId="0" xfId="0" applyNumberFormat="1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horizontal="left" vertical="center"/>
    </xf>
    <xf numFmtId="0" fontId="11" fillId="5" borderId="0" xfId="1" applyFill="1" applyAlignment="1" applyProtection="1"/>
    <xf numFmtId="0" fontId="1" fillId="5" borderId="0" xfId="0" applyFont="1" applyFill="1" applyAlignment="1">
      <alignment horizontal="right" wrapText="1"/>
    </xf>
    <xf numFmtId="164" fontId="1" fillId="5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/>
    </xf>
    <xf numFmtId="0" fontId="3" fillId="6" borderId="0" xfId="0" applyFont="1" applyFill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0" fillId="6" borderId="0" xfId="0" applyFont="1" applyFill="1" applyAlignment="1">
      <alignment horizontal="left" wrapText="1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1" fillId="2" borderId="8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164" fontId="1" fillId="4" borderId="8" xfId="0" applyNumberFormat="1" applyFont="1" applyFill="1" applyBorder="1" applyAlignment="1">
      <alignment horizontal="right" vertical="center"/>
    </xf>
    <xf numFmtId="164" fontId="1" fillId="4" borderId="0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hw0009@umn.edu?subject=trellis%20cost%20she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hw0009@umn.edu?subject=trellis%20cost%20sh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85" zoomScaleNormal="70" workbookViewId="0">
      <selection activeCell="C7" sqref="C7"/>
    </sheetView>
  </sheetViews>
  <sheetFormatPr defaultRowHeight="12.75" x14ac:dyDescent="0.2"/>
  <cols>
    <col min="1" max="1" width="4.140625" customWidth="1"/>
    <col min="2" max="2" width="21.42578125" customWidth="1"/>
    <col min="3" max="3" width="10.5703125" customWidth="1"/>
    <col min="4" max="4" width="23.28515625" customWidth="1"/>
    <col min="5" max="5" width="13.140625" customWidth="1"/>
    <col min="14" max="14" width="14.42578125" customWidth="1"/>
    <col min="15" max="15" width="29.28515625" customWidth="1"/>
    <col min="16" max="16" width="3.42578125" customWidth="1"/>
  </cols>
  <sheetData>
    <row r="1" spans="1:16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x14ac:dyDescent="0.2">
      <c r="A2" s="42"/>
      <c r="B2" s="72" t="s">
        <v>80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2"/>
      <c r="P2" s="42"/>
    </row>
    <row r="3" spans="1:16" x14ac:dyDescent="0.2">
      <c r="A3" s="4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42"/>
      <c r="P3" s="42"/>
    </row>
    <row r="4" spans="1:16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3.5" thickBot="1" x14ac:dyDescent="0.25">
      <c r="A5" s="42"/>
      <c r="B5" s="15" t="s">
        <v>28</v>
      </c>
      <c r="C5" s="15" t="s">
        <v>0</v>
      </c>
      <c r="D5" s="16" t="s">
        <v>12</v>
      </c>
      <c r="E5" s="9" t="s">
        <v>29</v>
      </c>
      <c r="F5" s="10"/>
      <c r="G5" s="10"/>
      <c r="H5" s="10"/>
      <c r="I5" s="10"/>
      <c r="J5" s="10"/>
      <c r="K5" s="10"/>
      <c r="L5" s="10"/>
      <c r="M5" s="10"/>
      <c r="N5" s="29"/>
      <c r="O5" s="9" t="s">
        <v>56</v>
      </c>
      <c r="P5" s="42"/>
    </row>
    <row r="6" spans="1:16" x14ac:dyDescent="0.2">
      <c r="A6" s="42"/>
      <c r="B6" s="5" t="s">
        <v>1</v>
      </c>
      <c r="C6" s="4">
        <v>17</v>
      </c>
      <c r="D6" s="6" t="s">
        <v>4</v>
      </c>
      <c r="E6" s="5" t="s">
        <v>19</v>
      </c>
      <c r="F6" s="5"/>
      <c r="G6" s="5"/>
      <c r="H6" s="5"/>
      <c r="I6" s="5"/>
      <c r="J6" s="5"/>
      <c r="K6" s="5"/>
      <c r="L6" s="36" t="s">
        <v>13</v>
      </c>
      <c r="M6" s="5"/>
      <c r="N6" s="30"/>
      <c r="O6" s="26" t="s">
        <v>57</v>
      </c>
      <c r="P6" s="42"/>
    </row>
    <row r="7" spans="1:16" x14ac:dyDescent="0.2">
      <c r="A7" s="42"/>
      <c r="B7" s="5" t="s">
        <v>2</v>
      </c>
      <c r="C7" s="4">
        <v>17</v>
      </c>
      <c r="D7" s="8" t="s">
        <v>4</v>
      </c>
      <c r="E7" s="5" t="s">
        <v>18</v>
      </c>
      <c r="F7" s="5"/>
      <c r="G7" s="5"/>
      <c r="H7" s="5"/>
      <c r="I7" s="5"/>
      <c r="J7" s="5"/>
      <c r="K7" s="5"/>
      <c r="L7" s="36" t="s">
        <v>17</v>
      </c>
      <c r="M7" s="5"/>
      <c r="N7" s="30"/>
      <c r="O7" s="28" t="s">
        <v>57</v>
      </c>
      <c r="P7" s="42"/>
    </row>
    <row r="8" spans="1:16" x14ac:dyDescent="0.2">
      <c r="A8" s="42"/>
      <c r="B8" s="5" t="s">
        <v>3</v>
      </c>
      <c r="C8" s="4">
        <v>0</v>
      </c>
      <c r="D8" s="8" t="s">
        <v>4</v>
      </c>
      <c r="E8" s="5" t="s">
        <v>49</v>
      </c>
      <c r="F8" s="5"/>
      <c r="G8" s="5"/>
      <c r="H8" s="5"/>
      <c r="I8" s="5"/>
      <c r="J8" s="5"/>
      <c r="K8" s="5"/>
      <c r="L8" s="5"/>
      <c r="M8" s="5"/>
      <c r="N8" s="30"/>
      <c r="O8" s="28" t="s">
        <v>58</v>
      </c>
      <c r="P8" s="42"/>
    </row>
    <row r="9" spans="1:16" x14ac:dyDescent="0.2">
      <c r="A9" s="42"/>
      <c r="B9" s="5" t="s">
        <v>5</v>
      </c>
      <c r="C9" s="4">
        <v>7.99</v>
      </c>
      <c r="D9" s="8" t="s">
        <v>4</v>
      </c>
      <c r="E9" s="5" t="s">
        <v>22</v>
      </c>
      <c r="F9" s="5"/>
      <c r="G9" s="5"/>
      <c r="H9" s="5"/>
      <c r="I9" s="5"/>
      <c r="J9" s="5"/>
      <c r="K9" s="5"/>
      <c r="L9" s="5"/>
      <c r="M9" s="5"/>
      <c r="N9" s="30"/>
      <c r="O9" s="28" t="s">
        <v>59</v>
      </c>
      <c r="P9" s="42"/>
    </row>
    <row r="10" spans="1:16" x14ac:dyDescent="0.2">
      <c r="A10" s="42"/>
      <c r="B10" s="5" t="s">
        <v>6</v>
      </c>
      <c r="C10" s="4">
        <v>0.22</v>
      </c>
      <c r="D10" s="8" t="s">
        <v>15</v>
      </c>
      <c r="E10" s="5" t="s">
        <v>20</v>
      </c>
      <c r="F10" s="5"/>
      <c r="G10" s="5"/>
      <c r="H10" s="5"/>
      <c r="I10" s="5"/>
      <c r="J10" s="5"/>
      <c r="K10" s="5"/>
      <c r="L10" s="5"/>
      <c r="M10" s="5"/>
      <c r="N10" s="30"/>
      <c r="O10" s="28" t="s">
        <v>60</v>
      </c>
      <c r="P10" s="42"/>
    </row>
    <row r="11" spans="1:16" x14ac:dyDescent="0.2">
      <c r="A11" s="42"/>
      <c r="B11" s="5" t="s">
        <v>14</v>
      </c>
      <c r="C11" s="4">
        <v>0.01</v>
      </c>
      <c r="D11" s="8" t="s">
        <v>15</v>
      </c>
      <c r="E11" s="5" t="s">
        <v>21</v>
      </c>
      <c r="F11" s="5"/>
      <c r="G11" s="5"/>
      <c r="H11" s="5"/>
      <c r="I11" s="5"/>
      <c r="J11" s="5"/>
      <c r="K11" s="5"/>
      <c r="L11" s="5"/>
      <c r="M11" s="5"/>
      <c r="N11" s="30"/>
      <c r="O11" s="28" t="s">
        <v>61</v>
      </c>
      <c r="P11" s="42"/>
    </row>
    <row r="12" spans="1:16" x14ac:dyDescent="0.2">
      <c r="A12" s="42"/>
      <c r="B12" s="5" t="s">
        <v>7</v>
      </c>
      <c r="C12" s="4">
        <v>9.8000000000000007</v>
      </c>
      <c r="D12" s="8" t="s">
        <v>4</v>
      </c>
      <c r="E12" s="3" t="s">
        <v>23</v>
      </c>
      <c r="F12" s="3"/>
      <c r="G12" s="3"/>
      <c r="H12" s="3"/>
      <c r="I12" s="3"/>
      <c r="J12" s="3"/>
      <c r="K12" s="3"/>
      <c r="L12" s="3"/>
      <c r="M12" s="3"/>
      <c r="N12" s="31"/>
      <c r="O12" s="28" t="s">
        <v>62</v>
      </c>
      <c r="P12" s="42"/>
    </row>
    <row r="13" spans="1:16" x14ac:dyDescent="0.2">
      <c r="A13" s="42"/>
      <c r="B13" s="5" t="s">
        <v>8</v>
      </c>
      <c r="C13" s="4">
        <v>0.17</v>
      </c>
      <c r="D13" s="8" t="s">
        <v>4</v>
      </c>
      <c r="E13" s="7" t="s">
        <v>27</v>
      </c>
      <c r="F13" s="7"/>
      <c r="G13" s="7"/>
      <c r="H13" s="7"/>
      <c r="I13" s="7"/>
      <c r="J13" s="7"/>
      <c r="K13" s="7"/>
      <c r="L13" s="7"/>
      <c r="M13" s="7"/>
      <c r="N13" s="32"/>
      <c r="O13" s="28" t="s">
        <v>63</v>
      </c>
      <c r="P13" s="42"/>
    </row>
    <row r="14" spans="1:16" x14ac:dyDescent="0.2">
      <c r="A14" s="42"/>
      <c r="B14" s="5" t="s">
        <v>9</v>
      </c>
      <c r="C14" s="4">
        <v>2.2999999999999998</v>
      </c>
      <c r="D14" s="8" t="s">
        <v>4</v>
      </c>
      <c r="E14" s="3" t="s">
        <v>24</v>
      </c>
      <c r="F14" s="3"/>
      <c r="G14" s="3"/>
      <c r="H14" s="3"/>
      <c r="I14" s="3"/>
      <c r="J14" s="3"/>
      <c r="K14" s="3"/>
      <c r="L14" s="3"/>
      <c r="M14" s="3"/>
      <c r="N14" s="31"/>
      <c r="O14" s="28" t="s">
        <v>64</v>
      </c>
      <c r="P14" s="42"/>
    </row>
    <row r="15" spans="1:16" x14ac:dyDescent="0.2">
      <c r="A15" s="42"/>
      <c r="B15" s="5" t="s">
        <v>10</v>
      </c>
      <c r="C15" s="4">
        <v>0.15</v>
      </c>
      <c r="D15" s="8" t="s">
        <v>4</v>
      </c>
      <c r="E15" s="7" t="s">
        <v>25</v>
      </c>
      <c r="F15" s="7"/>
      <c r="G15" s="7"/>
      <c r="H15" s="7"/>
      <c r="I15" s="7"/>
      <c r="J15" s="7"/>
      <c r="K15" s="7"/>
      <c r="L15" s="7"/>
      <c r="M15" s="7"/>
      <c r="N15" s="32"/>
      <c r="O15" s="28" t="s">
        <v>65</v>
      </c>
      <c r="P15" s="42"/>
    </row>
    <row r="16" spans="1:16" x14ac:dyDescent="0.2">
      <c r="A16" s="42"/>
      <c r="B16" s="5" t="s">
        <v>82</v>
      </c>
      <c r="C16" s="4">
        <v>7.0000000000000007E-2</v>
      </c>
      <c r="D16" s="6" t="s">
        <v>4</v>
      </c>
      <c r="E16" s="5" t="s">
        <v>83</v>
      </c>
      <c r="F16" s="5"/>
      <c r="G16" s="5"/>
      <c r="H16" s="5"/>
      <c r="I16" s="5"/>
      <c r="J16" s="5"/>
      <c r="K16" s="5"/>
      <c r="L16" s="5"/>
      <c r="M16" s="5"/>
      <c r="N16" s="30"/>
      <c r="O16" s="28" t="s">
        <v>84</v>
      </c>
      <c r="P16" s="42"/>
    </row>
    <row r="17" spans="1:16" x14ac:dyDescent="0.2">
      <c r="A17" s="42"/>
      <c r="B17" s="7" t="s">
        <v>11</v>
      </c>
      <c r="C17" s="4">
        <v>0.41</v>
      </c>
      <c r="D17" s="41" t="s">
        <v>13</v>
      </c>
      <c r="E17" s="5" t="s">
        <v>44</v>
      </c>
      <c r="F17" s="5"/>
      <c r="G17" s="5"/>
      <c r="H17" s="5"/>
      <c r="I17" s="5"/>
      <c r="J17" s="5"/>
      <c r="K17" s="5"/>
      <c r="L17" s="5"/>
      <c r="M17" s="5"/>
      <c r="N17" s="30"/>
      <c r="O17" s="28" t="s">
        <v>66</v>
      </c>
      <c r="P17" s="42"/>
    </row>
    <row r="18" spans="1:16" x14ac:dyDescent="0.2">
      <c r="A18" s="42"/>
      <c r="B18" s="1" t="s">
        <v>16</v>
      </c>
      <c r="C18" s="11">
        <v>2.5</v>
      </c>
      <c r="D18" s="2" t="s">
        <v>4</v>
      </c>
      <c r="E18" s="1" t="s">
        <v>26</v>
      </c>
      <c r="F18" s="1"/>
      <c r="G18" s="1"/>
      <c r="H18" s="1"/>
      <c r="I18" s="1"/>
      <c r="J18" s="1"/>
      <c r="K18" s="1"/>
      <c r="L18" s="1"/>
      <c r="M18" s="1"/>
      <c r="N18" s="31"/>
      <c r="O18" s="21" t="s">
        <v>67</v>
      </c>
      <c r="P18" s="42"/>
    </row>
    <row r="19" spans="1:16" x14ac:dyDescent="0.2">
      <c r="A19" s="4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42"/>
    </row>
    <row r="20" spans="1:16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3.5" thickBot="1" x14ac:dyDescent="0.25">
      <c r="A21" s="42"/>
      <c r="B21" s="9" t="s">
        <v>31</v>
      </c>
      <c r="C21" s="35" t="s">
        <v>32</v>
      </c>
      <c r="D21" s="47"/>
      <c r="E21" s="45"/>
      <c r="F21" s="46"/>
      <c r="G21" s="9" t="s">
        <v>68</v>
      </c>
      <c r="H21" s="42"/>
      <c r="I21" s="42"/>
      <c r="J21" s="42"/>
      <c r="K21" s="42"/>
      <c r="L21" s="42"/>
      <c r="M21" s="42"/>
      <c r="N21" s="42"/>
      <c r="O21" s="42"/>
      <c r="P21" s="42"/>
    </row>
    <row r="22" spans="1:16" x14ac:dyDescent="0.2">
      <c r="A22" s="42"/>
      <c r="B22" s="5" t="s">
        <v>30</v>
      </c>
      <c r="C22" s="13">
        <v>100</v>
      </c>
      <c r="D22" s="48"/>
      <c r="E22" s="45"/>
      <c r="F22" s="46" t="s">
        <v>41</v>
      </c>
      <c r="G22" s="26" t="s">
        <v>69</v>
      </c>
      <c r="H22" s="42"/>
      <c r="I22" s="42"/>
      <c r="J22" s="42"/>
      <c r="K22" s="42"/>
      <c r="L22" s="42"/>
      <c r="M22" s="42"/>
      <c r="N22" s="42"/>
      <c r="O22" s="42"/>
      <c r="P22" s="42"/>
    </row>
    <row r="23" spans="1:16" x14ac:dyDescent="0.2">
      <c r="A23" s="42"/>
      <c r="B23" s="5" t="s">
        <v>33</v>
      </c>
      <c r="C23" s="13">
        <v>15</v>
      </c>
      <c r="D23" s="48"/>
      <c r="E23" s="45"/>
      <c r="F23" s="46" t="s">
        <v>42</v>
      </c>
      <c r="G23" s="33" t="s">
        <v>70</v>
      </c>
      <c r="H23" s="42"/>
      <c r="I23" s="42"/>
      <c r="J23" s="42"/>
      <c r="K23" s="42"/>
      <c r="L23" s="42"/>
      <c r="M23" s="42"/>
      <c r="N23" s="42"/>
      <c r="O23" s="42"/>
      <c r="P23" s="42"/>
    </row>
    <row r="24" spans="1:16" x14ac:dyDescent="0.2">
      <c r="A24" s="42"/>
      <c r="B24" s="5" t="s">
        <v>34</v>
      </c>
      <c r="C24" s="13">
        <v>3</v>
      </c>
      <c r="D24" s="48"/>
      <c r="E24" s="45"/>
      <c r="F24" s="46"/>
      <c r="G24" s="34" t="s">
        <v>71</v>
      </c>
      <c r="H24" s="42"/>
      <c r="I24" s="42"/>
      <c r="J24" s="42"/>
      <c r="K24" s="42"/>
      <c r="L24" s="42"/>
      <c r="M24" s="42"/>
      <c r="N24" s="42"/>
      <c r="O24" s="42"/>
      <c r="P24" s="42"/>
    </row>
    <row r="25" spans="1:16" x14ac:dyDescent="0.2">
      <c r="A25" s="42"/>
      <c r="B25" s="12" t="s">
        <v>35</v>
      </c>
      <c r="C25" s="14">
        <v>50</v>
      </c>
      <c r="D25" s="58" t="s">
        <v>36</v>
      </c>
      <c r="E25" s="52"/>
      <c r="F25" s="44"/>
      <c r="G25" s="34" t="s">
        <v>72</v>
      </c>
      <c r="H25" s="42"/>
      <c r="I25" s="42"/>
      <c r="J25" s="42"/>
      <c r="K25" s="42"/>
      <c r="L25" s="42"/>
      <c r="M25" s="42"/>
      <c r="N25" s="42"/>
      <c r="O25" s="42"/>
      <c r="P25" s="42"/>
    </row>
    <row r="26" spans="1:16" x14ac:dyDescent="0.2">
      <c r="A26" s="42"/>
      <c r="B26" s="55"/>
      <c r="C26" s="56"/>
      <c r="D26" s="57"/>
      <c r="E26" s="53"/>
      <c r="F26" s="54"/>
      <c r="G26" s="53"/>
      <c r="H26" s="53"/>
      <c r="I26" s="53"/>
      <c r="J26" s="53"/>
      <c r="K26" s="53"/>
      <c r="L26" s="53"/>
      <c r="M26" s="53"/>
      <c r="N26" s="53"/>
      <c r="O26" s="53"/>
      <c r="P26" s="42"/>
    </row>
    <row r="27" spans="1:16" x14ac:dyDescent="0.2">
      <c r="A27" s="42"/>
      <c r="B27" s="42"/>
      <c r="C27" s="42"/>
      <c r="D27" s="42"/>
      <c r="E27" s="42"/>
      <c r="F27" s="43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3.5" thickBot="1" x14ac:dyDescent="0.25">
      <c r="A28" s="42"/>
      <c r="B28" s="9" t="s">
        <v>37</v>
      </c>
      <c r="C28" s="39" t="s">
        <v>41</v>
      </c>
      <c r="D28" s="52" t="s">
        <v>43</v>
      </c>
      <c r="E28" s="42"/>
      <c r="F28" s="43"/>
      <c r="G28" s="75" t="s">
        <v>68</v>
      </c>
      <c r="H28" s="75"/>
      <c r="I28" s="42"/>
      <c r="J28" s="42"/>
      <c r="K28" s="42"/>
      <c r="L28" s="42"/>
      <c r="M28" s="42"/>
      <c r="N28" s="42"/>
      <c r="O28" s="42"/>
      <c r="P28" s="42"/>
    </row>
    <row r="29" spans="1:16" x14ac:dyDescent="0.2">
      <c r="A29" s="42"/>
      <c r="B29" s="5" t="s">
        <v>38</v>
      </c>
      <c r="C29" s="18">
        <v>0</v>
      </c>
      <c r="D29" s="52" t="str">
        <f>IF(C$28="Per Plant","oz","pounds")</f>
        <v>oz</v>
      </c>
      <c r="E29" s="49"/>
      <c r="F29" s="50" t="s">
        <v>47</v>
      </c>
      <c r="G29" s="74">
        <v>0</v>
      </c>
      <c r="H29" s="74"/>
      <c r="I29" s="42"/>
      <c r="J29" s="42"/>
      <c r="K29" s="42"/>
      <c r="L29" s="42"/>
      <c r="M29" s="42"/>
      <c r="N29" s="42"/>
      <c r="O29" s="42"/>
      <c r="P29" s="42"/>
    </row>
    <row r="30" spans="1:16" x14ac:dyDescent="0.2">
      <c r="A30" s="42"/>
      <c r="B30" s="7" t="s">
        <v>39</v>
      </c>
      <c r="C30" s="18">
        <v>10</v>
      </c>
      <c r="D30" s="52" t="str">
        <f>IF(C$28="Per Plant","oz","pounds")</f>
        <v>oz</v>
      </c>
      <c r="E30" s="49"/>
      <c r="F30" s="50" t="s">
        <v>48</v>
      </c>
      <c r="G30" s="73" t="s">
        <v>73</v>
      </c>
      <c r="H30" s="73"/>
      <c r="I30" s="42"/>
      <c r="J30" s="42"/>
      <c r="K30" s="42"/>
      <c r="L30" s="42"/>
      <c r="M30" s="42"/>
      <c r="N30" s="42"/>
      <c r="O30" s="42"/>
      <c r="P30" s="42"/>
    </row>
    <row r="31" spans="1:16" x14ac:dyDescent="0.2">
      <c r="A31" s="42"/>
      <c r="B31" s="3" t="s">
        <v>40</v>
      </c>
      <c r="C31" s="18">
        <v>22</v>
      </c>
      <c r="D31" s="52" t="str">
        <f>IF(C$28="Per Plant","oz","pounds")</f>
        <v>oz</v>
      </c>
      <c r="E31" s="51"/>
      <c r="F31" s="50"/>
      <c r="G31" s="71" t="s">
        <v>74</v>
      </c>
      <c r="H31" s="71"/>
      <c r="I31" s="52" t="s">
        <v>75</v>
      </c>
      <c r="J31" s="52"/>
      <c r="K31" s="42"/>
      <c r="L31" s="42"/>
      <c r="M31" s="42"/>
      <c r="N31" s="42"/>
      <c r="O31" s="42"/>
      <c r="P31" s="42"/>
    </row>
    <row r="32" spans="1:16" x14ac:dyDescent="0.2">
      <c r="A32" s="42"/>
      <c r="B32" s="53"/>
      <c r="C32" s="53"/>
      <c r="D32" s="53"/>
      <c r="E32" s="59"/>
      <c r="F32" s="59"/>
      <c r="G32" s="53"/>
      <c r="H32" s="53"/>
      <c r="I32" s="53"/>
      <c r="J32" s="53"/>
      <c r="K32" s="53"/>
      <c r="L32" s="53"/>
      <c r="M32" s="53"/>
      <c r="N32" s="53"/>
      <c r="O32" s="53"/>
      <c r="P32" s="42"/>
    </row>
    <row r="33" spans="1:16" x14ac:dyDescent="0.2">
      <c r="A33" s="42"/>
      <c r="B33" s="60"/>
      <c r="C33" s="60"/>
      <c r="D33" s="60"/>
      <c r="E33" s="61"/>
      <c r="F33" s="61"/>
      <c r="G33" s="60"/>
      <c r="H33" s="60"/>
      <c r="I33" s="60"/>
      <c r="J33" s="60"/>
      <c r="K33" s="60"/>
      <c r="L33" s="60"/>
      <c r="M33" s="60"/>
      <c r="N33" s="60"/>
      <c r="O33" s="62"/>
      <c r="P33" s="42"/>
    </row>
    <row r="34" spans="1:16" x14ac:dyDescent="0.2">
      <c r="A34" s="42"/>
      <c r="B34" s="42"/>
      <c r="C34" s="40" t="s">
        <v>48</v>
      </c>
      <c r="D34" s="52" t="s">
        <v>46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8"/>
      <c r="P34" s="42"/>
    </row>
    <row r="35" spans="1:16" x14ac:dyDescent="0.2">
      <c r="A35" s="42"/>
      <c r="B35" s="68" t="s">
        <v>86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</sheetData>
  <mergeCells count="5">
    <mergeCell ref="G31:H31"/>
    <mergeCell ref="B2:N3"/>
    <mergeCell ref="G30:H30"/>
    <mergeCell ref="G29:H29"/>
    <mergeCell ref="G28:H28"/>
  </mergeCells>
  <phoneticPr fontId="2" type="noConversion"/>
  <dataValidations count="3">
    <dataValidation type="list" allowBlank="1" showInputMessage="1" showErrorMessage="1" sqref="D17">
      <formula1>$L$6:$L$7</formula1>
    </dataValidation>
    <dataValidation type="list" showInputMessage="1" showErrorMessage="1" sqref="C28">
      <formula1>$F$22:$F$23</formula1>
    </dataValidation>
    <dataValidation type="list" allowBlank="1" showInputMessage="1" showErrorMessage="1" sqref="C34">
      <formula1>$F$29:$F$30</formula1>
    </dataValidation>
  </dataValidations>
  <hyperlinks>
    <hyperlink ref="B35" r:id="rId1"/>
  </hyperlinks>
  <pageMargins left="0.75" right="0.75" top="1" bottom="1" header="0.5" footer="0.5"/>
  <pageSetup scale="5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D10" sqref="D10"/>
    </sheetView>
  </sheetViews>
  <sheetFormatPr defaultRowHeight="12.75" x14ac:dyDescent="0.2"/>
  <cols>
    <col min="1" max="1" width="3.7109375" customWidth="1"/>
    <col min="2" max="2" width="21.7109375" customWidth="1"/>
    <col min="4" max="4" width="12.7109375" customWidth="1"/>
    <col min="5" max="5" width="43.5703125" customWidth="1"/>
  </cols>
  <sheetData>
    <row r="1" spans="1:7" x14ac:dyDescent="0.2">
      <c r="A1" s="42"/>
      <c r="B1" s="42"/>
      <c r="C1" s="42"/>
      <c r="D1" s="42"/>
      <c r="E1" s="42"/>
      <c r="F1" s="42"/>
    </row>
    <row r="2" spans="1:7" ht="19.5" customHeight="1" x14ac:dyDescent="0.2">
      <c r="A2" s="42"/>
      <c r="B2" s="76" t="s">
        <v>77</v>
      </c>
      <c r="C2" s="76"/>
      <c r="D2" s="76"/>
      <c r="E2" s="76"/>
      <c r="F2" s="42"/>
    </row>
    <row r="3" spans="1:7" ht="14.25" customHeight="1" x14ac:dyDescent="0.2">
      <c r="A3" s="42"/>
      <c r="B3" s="76"/>
      <c r="C3" s="76"/>
      <c r="D3" s="76"/>
      <c r="E3" s="76"/>
      <c r="F3" s="42"/>
    </row>
    <row r="4" spans="1:7" x14ac:dyDescent="0.2">
      <c r="A4" s="42"/>
      <c r="B4" s="42"/>
      <c r="C4" s="42"/>
      <c r="D4" s="42"/>
      <c r="E4" s="42"/>
      <c r="F4" s="42"/>
    </row>
    <row r="5" spans="1:7" x14ac:dyDescent="0.2">
      <c r="A5" s="42"/>
      <c r="B5" s="1" t="s">
        <v>79</v>
      </c>
      <c r="C5" s="19">
        <f>INT((43560/INPUTS!C22)/INPUTS!C23)</f>
        <v>29</v>
      </c>
      <c r="D5" s="52"/>
      <c r="E5" s="52"/>
      <c r="F5" s="49" t="s">
        <v>50</v>
      </c>
      <c r="G5" s="17">
        <f>C5*INPUTS!C22</f>
        <v>2900</v>
      </c>
    </row>
    <row r="6" spans="1:7" x14ac:dyDescent="0.2">
      <c r="A6" s="42"/>
      <c r="B6" s="77" t="s">
        <v>52</v>
      </c>
      <c r="C6" s="24">
        <f>IF(INPUTS!C28="Per Plant",((INPUTS!C29+INPUTS!C30+(8*INPUTS!C31))/10)/16,C7/C22)</f>
        <v>1.1625000000000001</v>
      </c>
      <c r="D6" s="66" t="s">
        <v>55</v>
      </c>
      <c r="E6" s="66"/>
      <c r="F6" s="52"/>
      <c r="G6" s="17"/>
    </row>
    <row r="7" spans="1:7" x14ac:dyDescent="0.2">
      <c r="A7" s="42"/>
      <c r="B7" s="78"/>
      <c r="C7" s="23">
        <f>IF(INPUTS!C28="Per Acre",((INPUTS!C29+INPUTS!C30+(8*INPUTS!C31))/10),C6*C22)</f>
        <v>1123.75</v>
      </c>
      <c r="D7" s="66" t="s">
        <v>51</v>
      </c>
      <c r="E7" s="66"/>
      <c r="F7" s="52"/>
      <c r="G7" s="17"/>
    </row>
    <row r="8" spans="1:7" x14ac:dyDescent="0.2">
      <c r="A8" s="42"/>
      <c r="B8" s="42"/>
      <c r="C8" s="42"/>
      <c r="D8" s="52"/>
      <c r="E8" s="52"/>
      <c r="F8" s="42"/>
    </row>
    <row r="9" spans="1:7" ht="13.5" thickBot="1" x14ac:dyDescent="0.25">
      <c r="A9" s="42"/>
      <c r="B9" s="15" t="s">
        <v>28</v>
      </c>
      <c r="C9" s="15" t="s">
        <v>45</v>
      </c>
      <c r="D9" s="15" t="s">
        <v>0</v>
      </c>
      <c r="E9" s="52"/>
      <c r="F9" s="42"/>
    </row>
    <row r="10" spans="1:7" x14ac:dyDescent="0.2">
      <c r="A10" s="42"/>
      <c r="B10" s="5" t="s">
        <v>1</v>
      </c>
      <c r="C10" s="19">
        <f>IF(INPUTS!C34="NO",C5*2,(C5*2)+(C11/C5*2)+4)</f>
        <v>58</v>
      </c>
      <c r="D10" s="20">
        <f>C10*INPUTS!C6</f>
        <v>986</v>
      </c>
      <c r="E10" s="52"/>
      <c r="F10" s="42"/>
    </row>
    <row r="11" spans="1:7" x14ac:dyDescent="0.2">
      <c r="A11" s="42"/>
      <c r="B11" s="5" t="s">
        <v>2</v>
      </c>
      <c r="C11" s="19">
        <f>C5*IF(INT(INPUTS!C22/INPUTS!C25)&lt;INPUTS!C22/INPUTS!C25,INT(INPUTS!C22/INPUTS!C25),INT(INPUTS!C22/INPUTS!C25)-1)</f>
        <v>29</v>
      </c>
      <c r="D11" s="20">
        <f>C11*INPUTS!C7</f>
        <v>493</v>
      </c>
      <c r="E11" s="52"/>
      <c r="F11" s="42"/>
    </row>
    <row r="12" spans="1:7" x14ac:dyDescent="0.2">
      <c r="A12" s="42"/>
      <c r="B12" s="5" t="s">
        <v>3</v>
      </c>
      <c r="C12" s="19"/>
      <c r="D12" s="20">
        <f>(C11+C10)*INPUTS!C8</f>
        <v>0</v>
      </c>
      <c r="E12" s="52"/>
      <c r="F12" s="42"/>
    </row>
    <row r="13" spans="1:7" x14ac:dyDescent="0.2">
      <c r="A13" s="42"/>
      <c r="B13" s="5" t="s">
        <v>5</v>
      </c>
      <c r="C13" s="19">
        <f>C10</f>
        <v>58</v>
      </c>
      <c r="D13" s="20">
        <f>C13*INPUTS!C9</f>
        <v>463.42</v>
      </c>
      <c r="E13" s="52"/>
      <c r="F13" s="42"/>
    </row>
    <row r="14" spans="1:7" x14ac:dyDescent="0.2">
      <c r="A14" s="42"/>
      <c r="B14" s="5" t="s">
        <v>6</v>
      </c>
      <c r="C14" s="19">
        <f>IF(INPUTS!C34="NO",(G5+(10*C5))+(40*C10),2*(G5+(10*C5))+(40*C10))</f>
        <v>5510</v>
      </c>
      <c r="D14" s="20">
        <f>C14*INPUTS!C10</f>
        <v>1212.2</v>
      </c>
      <c r="E14" s="63"/>
      <c r="F14" s="42"/>
    </row>
    <row r="15" spans="1:7" x14ac:dyDescent="0.2">
      <c r="A15" s="42"/>
      <c r="B15" s="5" t="s">
        <v>14</v>
      </c>
      <c r="C15" s="19">
        <f>G5+(10*C5)</f>
        <v>3190</v>
      </c>
      <c r="D15" s="20">
        <f>C15*INPUTS!C11</f>
        <v>31.900000000000002</v>
      </c>
      <c r="E15" s="52"/>
      <c r="F15" s="42"/>
    </row>
    <row r="16" spans="1:7" x14ac:dyDescent="0.2">
      <c r="A16" s="42"/>
      <c r="B16" s="5" t="s">
        <v>7</v>
      </c>
      <c r="C16" s="19">
        <f>C13</f>
        <v>58</v>
      </c>
      <c r="D16" s="20">
        <f>C16*INPUTS!C12</f>
        <v>568.40000000000009</v>
      </c>
      <c r="E16" s="52"/>
      <c r="F16" s="42"/>
    </row>
    <row r="17" spans="1:6" x14ac:dyDescent="0.2">
      <c r="A17" s="42"/>
      <c r="B17" s="5" t="s">
        <v>8</v>
      </c>
      <c r="C17" s="19">
        <f>(2*C10)+C16</f>
        <v>174</v>
      </c>
      <c r="D17" s="20">
        <f>C17*INPUTS!C13</f>
        <v>29.580000000000002</v>
      </c>
      <c r="E17" s="52"/>
      <c r="F17" s="42"/>
    </row>
    <row r="18" spans="1:6" x14ac:dyDescent="0.2">
      <c r="A18" s="42"/>
      <c r="B18" s="5" t="s">
        <v>9</v>
      </c>
      <c r="C18" s="19">
        <f>2*C10</f>
        <v>116</v>
      </c>
      <c r="D18" s="20">
        <f>C18*INPUTS!C14</f>
        <v>266.79999999999995</v>
      </c>
      <c r="E18" s="52"/>
      <c r="F18" s="42"/>
    </row>
    <row r="19" spans="1:6" x14ac:dyDescent="0.2">
      <c r="A19" s="42"/>
      <c r="B19" s="5" t="s">
        <v>10</v>
      </c>
      <c r="C19" s="19">
        <f>C17</f>
        <v>174</v>
      </c>
      <c r="D19" s="20">
        <f>C19*INPUTS!C15</f>
        <v>26.099999999999998</v>
      </c>
      <c r="E19" s="52"/>
      <c r="F19" s="42"/>
    </row>
    <row r="20" spans="1:6" x14ac:dyDescent="0.2">
      <c r="A20" s="42"/>
      <c r="B20" s="5" t="s">
        <v>82</v>
      </c>
      <c r="C20" s="19">
        <f>C11*2</f>
        <v>58</v>
      </c>
      <c r="D20" s="20">
        <f>C20*INPUTS!C16</f>
        <v>4.0600000000000005</v>
      </c>
      <c r="E20" s="52"/>
      <c r="F20" s="42"/>
    </row>
    <row r="21" spans="1:6" x14ac:dyDescent="0.2">
      <c r="A21" s="42"/>
      <c r="B21" s="7" t="s">
        <v>11</v>
      </c>
      <c r="C21" s="19">
        <f>IF(E21="strings",ROUND(C22,0),G5)</f>
        <v>2900</v>
      </c>
      <c r="D21" s="20">
        <f>C21*INPUTS!C17</f>
        <v>1189</v>
      </c>
      <c r="E21" s="66" t="str">
        <f>IF(INPUTS!D17="/ea (string support)","strings","feet of mesh")</f>
        <v>feet of mesh</v>
      </c>
      <c r="F21" s="42"/>
    </row>
    <row r="22" spans="1:6" x14ac:dyDescent="0.2">
      <c r="A22" s="42"/>
      <c r="B22" s="1" t="s">
        <v>16</v>
      </c>
      <c r="C22" s="23">
        <f>G5/INPUTS!C24</f>
        <v>966.66666666666663</v>
      </c>
      <c r="D22" s="20">
        <f>C22*INPUTS!C18</f>
        <v>2416.6666666666665</v>
      </c>
      <c r="E22" s="66"/>
      <c r="F22" s="42"/>
    </row>
    <row r="23" spans="1:6" x14ac:dyDescent="0.2">
      <c r="A23" s="42"/>
      <c r="B23" s="42"/>
      <c r="C23" s="42"/>
      <c r="D23" s="42"/>
      <c r="E23" s="66"/>
      <c r="F23" s="42"/>
    </row>
    <row r="24" spans="1:6" x14ac:dyDescent="0.2">
      <c r="A24" s="42"/>
      <c r="B24" s="84" t="s">
        <v>76</v>
      </c>
      <c r="C24" s="84"/>
      <c r="D24" s="25">
        <f>SUM(D10:D22)</f>
        <v>7687.126666666667</v>
      </c>
      <c r="E24" s="66" t="s">
        <v>54</v>
      </c>
      <c r="F24" s="42"/>
    </row>
    <row r="25" spans="1:6" x14ac:dyDescent="0.2">
      <c r="A25" s="42"/>
      <c r="B25" s="85" t="s">
        <v>53</v>
      </c>
      <c r="C25" s="85"/>
      <c r="D25" s="27">
        <f>IF(E21="strings",(D24+(9*D21))/C22,D24/C22)</f>
        <v>7.9522000000000004</v>
      </c>
      <c r="E25" s="66" t="str">
        <f>IF(E$21="strings","For first 10 years, including annual cost for strings.","")</f>
        <v/>
      </c>
      <c r="F25" s="42"/>
    </row>
    <row r="26" spans="1:6" x14ac:dyDescent="0.2">
      <c r="A26" s="42"/>
      <c r="B26" s="37"/>
      <c r="C26" s="37" t="s">
        <v>81</v>
      </c>
      <c r="D26" s="38">
        <f>D25*(C22/C5)</f>
        <v>265.07333333333332</v>
      </c>
      <c r="E26" s="66" t="str">
        <f>IF(E$21="strings","For first 10 years, including annual cost for strings.","")</f>
        <v/>
      </c>
      <c r="F26" s="42"/>
    </row>
    <row r="27" spans="1:6" ht="12.75" customHeight="1" x14ac:dyDescent="0.2">
      <c r="A27" s="42"/>
      <c r="B27" s="80" t="s">
        <v>78</v>
      </c>
      <c r="C27" s="80"/>
      <c r="D27" s="82">
        <f>D25/C6</f>
        <v>6.8406021505376344</v>
      </c>
      <c r="E27" s="79" t="s">
        <v>85</v>
      </c>
      <c r="F27" s="42"/>
    </row>
    <row r="28" spans="1:6" x14ac:dyDescent="0.2">
      <c r="A28" s="42"/>
      <c r="B28" s="81"/>
      <c r="C28" s="81"/>
      <c r="D28" s="83"/>
      <c r="E28" s="79"/>
      <c r="F28" s="42"/>
    </row>
    <row r="29" spans="1:6" x14ac:dyDescent="0.2">
      <c r="A29" s="42"/>
      <c r="B29" s="69"/>
      <c r="C29" s="69"/>
      <c r="D29" s="70"/>
      <c r="E29" s="67"/>
      <c r="F29" s="42"/>
    </row>
    <row r="30" spans="1:6" x14ac:dyDescent="0.2">
      <c r="A30" s="42"/>
      <c r="B30" s="68" t="s">
        <v>86</v>
      </c>
      <c r="C30" s="64"/>
      <c r="D30" s="65"/>
      <c r="E30" s="52"/>
      <c r="F30" s="42"/>
    </row>
    <row r="31" spans="1:6" x14ac:dyDescent="0.2">
      <c r="B31" s="22"/>
      <c r="C31" s="22"/>
    </row>
  </sheetData>
  <sheetProtection password="DBCD" sheet="1" objects="1" scenarios="1" pivotTables="0"/>
  <protectedRanges>
    <protectedRange password="DBCD" sqref="B5:D29" name="Range1"/>
  </protectedRanges>
  <mergeCells count="7">
    <mergeCell ref="B2:E3"/>
    <mergeCell ref="B6:B7"/>
    <mergeCell ref="E27:E28"/>
    <mergeCell ref="B27:C28"/>
    <mergeCell ref="D27:D28"/>
    <mergeCell ref="B24:C24"/>
    <mergeCell ref="B25:C25"/>
  </mergeCells>
  <phoneticPr fontId="2" type="noConversion"/>
  <hyperlinks>
    <hyperlink ref="B30" r:id="rId1"/>
  </hyperlinks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</vt:lpstr>
      <vt:lpstr>OUTPUT</vt:lpstr>
    </vt:vector>
  </TitlesOfParts>
  <Company>SROC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Min Wang</dc:creator>
  <cp:lastModifiedBy>Robert Sirrine</cp:lastModifiedBy>
  <dcterms:created xsi:type="dcterms:W3CDTF">2010-11-02T15:16:31Z</dcterms:created>
  <dcterms:modified xsi:type="dcterms:W3CDTF">2011-11-18T17:40:17Z</dcterms:modified>
</cp:coreProperties>
</file>